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My Documents\The Pippins\Solar\Models\Original + My mods\"/>
    </mc:Choice>
  </mc:AlternateContent>
  <bookViews>
    <workbookView xWindow="285" yWindow="495" windowWidth="28275" windowHeight="16275" activeTab="1"/>
  </bookViews>
  <sheets>
    <sheet name="Summer" sheetId="2" r:id="rId1"/>
    <sheet name="Spring &amp; Autumn" sheetId="5" r:id="rId2"/>
    <sheet name="Winter" sheetId="4" r:id="rId3"/>
  </sheet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4" l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4" i="4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4" i="5"/>
  <c r="C9" i="5" l="1"/>
  <c r="C9" i="4" l="1"/>
  <c r="C12" i="5"/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4" i="2"/>
  <c r="H28" i="2" l="1"/>
  <c r="C13" i="5"/>
  <c r="C11" i="5"/>
  <c r="C10" i="5"/>
  <c r="C8" i="5"/>
  <c r="C7" i="5"/>
  <c r="C13" i="4"/>
  <c r="C12" i="4"/>
  <c r="C11" i="4"/>
  <c r="C10" i="4"/>
  <c r="C8" i="4"/>
  <c r="C7" i="4"/>
  <c r="C6" i="4"/>
  <c r="S24" i="4"/>
  <c r="S24" i="5"/>
  <c r="C6" i="5"/>
  <c r="F28" i="5"/>
  <c r="H5" i="5" l="1"/>
  <c r="H9" i="5"/>
  <c r="H13" i="5"/>
  <c r="H17" i="5"/>
  <c r="H21" i="5"/>
  <c r="H25" i="5"/>
  <c r="H6" i="5"/>
  <c r="H14" i="5"/>
  <c r="H22" i="5"/>
  <c r="H10" i="5"/>
  <c r="H18" i="5"/>
  <c r="H26" i="5"/>
  <c r="H7" i="5"/>
  <c r="H11" i="5"/>
  <c r="H15" i="5"/>
  <c r="H19" i="5"/>
  <c r="H23" i="5"/>
  <c r="H27" i="5"/>
  <c r="H8" i="5"/>
  <c r="H12" i="5"/>
  <c r="H16" i="5"/>
  <c r="H20" i="5"/>
  <c r="H24" i="5"/>
  <c r="H4" i="5"/>
  <c r="J4" i="5" s="1"/>
  <c r="Q4" i="5" s="1"/>
  <c r="R4" i="5" s="1"/>
  <c r="H5" i="4"/>
  <c r="H9" i="4"/>
  <c r="H13" i="4"/>
  <c r="H17" i="4"/>
  <c r="H21" i="4"/>
  <c r="H25" i="4"/>
  <c r="H6" i="4"/>
  <c r="H10" i="4"/>
  <c r="H14" i="4"/>
  <c r="H18" i="4"/>
  <c r="H22" i="4"/>
  <c r="H26" i="4"/>
  <c r="H7" i="4"/>
  <c r="H11" i="4"/>
  <c r="H15" i="4"/>
  <c r="H19" i="4"/>
  <c r="H23" i="4"/>
  <c r="H27" i="4"/>
  <c r="H8" i="4"/>
  <c r="H12" i="4"/>
  <c r="H16" i="4"/>
  <c r="H20" i="4"/>
  <c r="H24" i="4"/>
  <c r="H4" i="4"/>
  <c r="H28" i="5" l="1"/>
  <c r="F28" i="4" l="1"/>
  <c r="J4" i="4"/>
  <c r="H28" i="4" l="1"/>
  <c r="Q4" i="4"/>
  <c r="R4" i="4" l="1"/>
  <c r="J4" i="2" l="1"/>
  <c r="F28" i="2"/>
  <c r="Q4" i="2" l="1"/>
  <c r="R4" i="2" s="1"/>
  <c r="I4" i="5"/>
  <c r="K4" i="5"/>
  <c r="L4" i="5"/>
  <c r="M4" i="5"/>
  <c r="P4" i="5"/>
  <c r="I5" i="5"/>
  <c r="J5" i="5"/>
  <c r="K5" i="5"/>
  <c r="L5" i="5"/>
  <c r="M5" i="5"/>
  <c r="P5" i="5"/>
  <c r="Q5" i="5"/>
  <c r="R5" i="5"/>
  <c r="I6" i="5"/>
  <c r="J6" i="5"/>
  <c r="K6" i="5"/>
  <c r="L6" i="5"/>
  <c r="M6" i="5"/>
  <c r="P6" i="5"/>
  <c r="Q6" i="5"/>
  <c r="R6" i="5"/>
  <c r="I7" i="5"/>
  <c r="J7" i="5"/>
  <c r="K7" i="5"/>
  <c r="L7" i="5"/>
  <c r="M7" i="5"/>
  <c r="P7" i="5"/>
  <c r="Q7" i="5"/>
  <c r="R7" i="5"/>
  <c r="J8" i="5"/>
  <c r="K8" i="5"/>
  <c r="L8" i="5"/>
  <c r="M8" i="5"/>
  <c r="P8" i="5"/>
  <c r="Q8" i="5"/>
  <c r="R8" i="5"/>
  <c r="J9" i="5"/>
  <c r="K9" i="5"/>
  <c r="L9" i="5"/>
  <c r="M9" i="5"/>
  <c r="P9" i="5"/>
  <c r="Q9" i="5"/>
  <c r="R9" i="5"/>
  <c r="J10" i="5"/>
  <c r="K10" i="5"/>
  <c r="L10" i="5"/>
  <c r="M10" i="5"/>
  <c r="P10" i="5"/>
  <c r="Q10" i="5"/>
  <c r="R10" i="5"/>
  <c r="J11" i="5"/>
  <c r="K11" i="5"/>
  <c r="L11" i="5"/>
  <c r="M11" i="5"/>
  <c r="P11" i="5"/>
  <c r="Q11" i="5"/>
  <c r="R11" i="5"/>
  <c r="J12" i="5"/>
  <c r="K12" i="5"/>
  <c r="L12" i="5"/>
  <c r="M12" i="5"/>
  <c r="P12" i="5"/>
  <c r="Q12" i="5"/>
  <c r="R12" i="5"/>
  <c r="J13" i="5"/>
  <c r="K13" i="5"/>
  <c r="L13" i="5"/>
  <c r="M13" i="5"/>
  <c r="P13" i="5"/>
  <c r="Q13" i="5"/>
  <c r="R13" i="5"/>
  <c r="J14" i="5"/>
  <c r="K14" i="5"/>
  <c r="L14" i="5"/>
  <c r="M14" i="5"/>
  <c r="P14" i="5"/>
  <c r="Q14" i="5"/>
  <c r="R14" i="5"/>
  <c r="J15" i="5"/>
  <c r="K15" i="5"/>
  <c r="L15" i="5"/>
  <c r="M15" i="5"/>
  <c r="P15" i="5"/>
  <c r="Q15" i="5"/>
  <c r="R15" i="5"/>
  <c r="J16" i="5"/>
  <c r="K16" i="5"/>
  <c r="L16" i="5"/>
  <c r="M16" i="5"/>
  <c r="P16" i="5"/>
  <c r="Q16" i="5"/>
  <c r="R16" i="5"/>
  <c r="J17" i="5"/>
  <c r="K17" i="5"/>
  <c r="L17" i="5"/>
  <c r="M17" i="5"/>
  <c r="P17" i="5"/>
  <c r="Q17" i="5"/>
  <c r="R17" i="5"/>
  <c r="J18" i="5"/>
  <c r="K18" i="5"/>
  <c r="L18" i="5"/>
  <c r="M18" i="5"/>
  <c r="P18" i="5"/>
  <c r="Q18" i="5"/>
  <c r="R18" i="5"/>
  <c r="J19" i="5"/>
  <c r="K19" i="5"/>
  <c r="L19" i="5"/>
  <c r="M19" i="5"/>
  <c r="P19" i="5"/>
  <c r="Q19" i="5"/>
  <c r="R19" i="5"/>
  <c r="J20" i="5"/>
  <c r="K20" i="5"/>
  <c r="L20" i="5"/>
  <c r="M20" i="5"/>
  <c r="P20" i="5"/>
  <c r="Q20" i="5"/>
  <c r="R20" i="5"/>
  <c r="J21" i="5"/>
  <c r="K21" i="5"/>
  <c r="L21" i="5"/>
  <c r="M21" i="5"/>
  <c r="P21" i="5"/>
  <c r="Q21" i="5"/>
  <c r="R21" i="5"/>
  <c r="J22" i="5"/>
  <c r="K22" i="5"/>
  <c r="L22" i="5"/>
  <c r="M22" i="5"/>
  <c r="P22" i="5"/>
  <c r="Q22" i="5"/>
  <c r="R22" i="5"/>
  <c r="J23" i="5"/>
  <c r="K23" i="5"/>
  <c r="L23" i="5"/>
  <c r="M23" i="5"/>
  <c r="P23" i="5"/>
  <c r="Q23" i="5"/>
  <c r="R23" i="5"/>
  <c r="J24" i="5"/>
  <c r="K24" i="5"/>
  <c r="L24" i="5"/>
  <c r="M24" i="5"/>
  <c r="P24" i="5"/>
  <c r="Q24" i="5"/>
  <c r="R24" i="5"/>
  <c r="J25" i="5"/>
  <c r="K25" i="5"/>
  <c r="L25" i="5"/>
  <c r="M25" i="5"/>
  <c r="P25" i="5"/>
  <c r="Q25" i="5"/>
  <c r="R25" i="5"/>
  <c r="J26" i="5"/>
  <c r="K26" i="5"/>
  <c r="L26" i="5"/>
  <c r="M26" i="5"/>
  <c r="P26" i="5"/>
  <c r="Q26" i="5"/>
  <c r="R26" i="5"/>
  <c r="J27" i="5"/>
  <c r="K27" i="5"/>
  <c r="L27" i="5"/>
  <c r="M27" i="5"/>
  <c r="P27" i="5"/>
  <c r="Q27" i="5"/>
  <c r="R27" i="5"/>
  <c r="I28" i="5"/>
  <c r="J28" i="5"/>
  <c r="K28" i="5"/>
  <c r="M28" i="5"/>
  <c r="P28" i="5"/>
  <c r="Q28" i="5"/>
  <c r="R28" i="5"/>
  <c r="S28" i="5"/>
  <c r="T28" i="5"/>
  <c r="U28" i="5"/>
  <c r="V28" i="5"/>
  <c r="U30" i="5"/>
  <c r="U31" i="5"/>
  <c r="U32" i="5"/>
  <c r="I4" i="2"/>
  <c r="K4" i="2"/>
  <c r="L4" i="2"/>
  <c r="M4" i="2"/>
  <c r="P4" i="2"/>
  <c r="I5" i="2"/>
  <c r="J5" i="2"/>
  <c r="K5" i="2"/>
  <c r="L5" i="2"/>
  <c r="M5" i="2"/>
  <c r="P5" i="2"/>
  <c r="Q5" i="2"/>
  <c r="R5" i="2"/>
  <c r="I6" i="2"/>
  <c r="J6" i="2"/>
  <c r="K6" i="2"/>
  <c r="L6" i="2"/>
  <c r="M6" i="2"/>
  <c r="P6" i="2"/>
  <c r="Q6" i="2"/>
  <c r="R6" i="2"/>
  <c r="I7" i="2"/>
  <c r="J7" i="2"/>
  <c r="K7" i="2"/>
  <c r="L7" i="2"/>
  <c r="M7" i="2"/>
  <c r="P7" i="2"/>
  <c r="Q7" i="2"/>
  <c r="R7" i="2"/>
  <c r="J8" i="2"/>
  <c r="K8" i="2"/>
  <c r="L8" i="2"/>
  <c r="M8" i="2"/>
  <c r="P8" i="2"/>
  <c r="Q8" i="2"/>
  <c r="R8" i="2"/>
  <c r="J9" i="2"/>
  <c r="K9" i="2"/>
  <c r="L9" i="2"/>
  <c r="M9" i="2"/>
  <c r="P9" i="2"/>
  <c r="Q9" i="2"/>
  <c r="R9" i="2"/>
  <c r="J10" i="2"/>
  <c r="K10" i="2"/>
  <c r="L10" i="2"/>
  <c r="M10" i="2"/>
  <c r="P10" i="2"/>
  <c r="Q10" i="2"/>
  <c r="R10" i="2"/>
  <c r="J11" i="2"/>
  <c r="K11" i="2"/>
  <c r="L11" i="2"/>
  <c r="M11" i="2"/>
  <c r="P11" i="2"/>
  <c r="Q11" i="2"/>
  <c r="R11" i="2"/>
  <c r="J12" i="2"/>
  <c r="K12" i="2"/>
  <c r="L12" i="2"/>
  <c r="M12" i="2"/>
  <c r="P12" i="2"/>
  <c r="Q12" i="2"/>
  <c r="R12" i="2"/>
  <c r="J13" i="2"/>
  <c r="K13" i="2"/>
  <c r="L13" i="2"/>
  <c r="M13" i="2"/>
  <c r="P13" i="2"/>
  <c r="Q13" i="2"/>
  <c r="R13" i="2"/>
  <c r="J14" i="2"/>
  <c r="K14" i="2"/>
  <c r="L14" i="2"/>
  <c r="M14" i="2"/>
  <c r="P14" i="2"/>
  <c r="Q14" i="2"/>
  <c r="R14" i="2"/>
  <c r="J15" i="2"/>
  <c r="K15" i="2"/>
  <c r="L15" i="2"/>
  <c r="M15" i="2"/>
  <c r="P15" i="2"/>
  <c r="Q15" i="2"/>
  <c r="R15" i="2"/>
  <c r="J16" i="2"/>
  <c r="K16" i="2"/>
  <c r="L16" i="2"/>
  <c r="M16" i="2"/>
  <c r="P16" i="2"/>
  <c r="Q16" i="2"/>
  <c r="R16" i="2"/>
  <c r="J17" i="2"/>
  <c r="K17" i="2"/>
  <c r="L17" i="2"/>
  <c r="M17" i="2"/>
  <c r="P17" i="2"/>
  <c r="Q17" i="2"/>
  <c r="R17" i="2"/>
  <c r="J18" i="2"/>
  <c r="K18" i="2"/>
  <c r="L18" i="2"/>
  <c r="M18" i="2"/>
  <c r="P18" i="2"/>
  <c r="Q18" i="2"/>
  <c r="R18" i="2"/>
  <c r="J19" i="2"/>
  <c r="K19" i="2"/>
  <c r="L19" i="2"/>
  <c r="M19" i="2"/>
  <c r="P19" i="2"/>
  <c r="Q19" i="2"/>
  <c r="R19" i="2"/>
  <c r="J20" i="2"/>
  <c r="K20" i="2"/>
  <c r="L20" i="2"/>
  <c r="M20" i="2"/>
  <c r="P20" i="2"/>
  <c r="Q20" i="2"/>
  <c r="R20" i="2"/>
  <c r="J21" i="2"/>
  <c r="K21" i="2"/>
  <c r="L21" i="2"/>
  <c r="M21" i="2"/>
  <c r="P21" i="2"/>
  <c r="Q21" i="2"/>
  <c r="R21" i="2"/>
  <c r="J22" i="2"/>
  <c r="K22" i="2"/>
  <c r="L22" i="2"/>
  <c r="M22" i="2"/>
  <c r="P22" i="2"/>
  <c r="Q22" i="2"/>
  <c r="R22" i="2"/>
  <c r="J23" i="2"/>
  <c r="K23" i="2"/>
  <c r="L23" i="2"/>
  <c r="M23" i="2"/>
  <c r="P23" i="2"/>
  <c r="Q23" i="2"/>
  <c r="R23" i="2"/>
  <c r="J24" i="2"/>
  <c r="K24" i="2"/>
  <c r="L24" i="2"/>
  <c r="M24" i="2"/>
  <c r="P24" i="2"/>
  <c r="Q24" i="2"/>
  <c r="R24" i="2"/>
  <c r="J25" i="2"/>
  <c r="K25" i="2"/>
  <c r="L25" i="2"/>
  <c r="M25" i="2"/>
  <c r="P25" i="2"/>
  <c r="Q25" i="2"/>
  <c r="R25" i="2"/>
  <c r="J26" i="2"/>
  <c r="K26" i="2"/>
  <c r="L26" i="2"/>
  <c r="M26" i="2"/>
  <c r="P26" i="2"/>
  <c r="Q26" i="2"/>
  <c r="R26" i="2"/>
  <c r="J27" i="2"/>
  <c r="K27" i="2"/>
  <c r="L27" i="2"/>
  <c r="M27" i="2"/>
  <c r="P27" i="2"/>
  <c r="Q27" i="2"/>
  <c r="R27" i="2"/>
  <c r="I28" i="2"/>
  <c r="J28" i="2"/>
  <c r="K28" i="2"/>
  <c r="M28" i="2"/>
  <c r="P28" i="2"/>
  <c r="Q28" i="2"/>
  <c r="R28" i="2"/>
  <c r="S28" i="2"/>
  <c r="T28" i="2"/>
  <c r="U28" i="2"/>
  <c r="V28" i="2"/>
  <c r="U30" i="2"/>
  <c r="U31" i="2"/>
  <c r="U32" i="2"/>
  <c r="I4" i="4"/>
  <c r="K4" i="4"/>
  <c r="L4" i="4"/>
  <c r="M4" i="4"/>
  <c r="P4" i="4"/>
  <c r="I5" i="4"/>
  <c r="J5" i="4"/>
  <c r="K5" i="4"/>
  <c r="L5" i="4"/>
  <c r="M5" i="4"/>
  <c r="P5" i="4"/>
  <c r="Q5" i="4"/>
  <c r="R5" i="4"/>
  <c r="I6" i="4"/>
  <c r="J6" i="4"/>
  <c r="K6" i="4"/>
  <c r="L6" i="4"/>
  <c r="M6" i="4"/>
  <c r="P6" i="4"/>
  <c r="Q6" i="4"/>
  <c r="R6" i="4"/>
  <c r="I7" i="4"/>
  <c r="J7" i="4"/>
  <c r="K7" i="4"/>
  <c r="L7" i="4"/>
  <c r="M7" i="4"/>
  <c r="P7" i="4"/>
  <c r="Q7" i="4"/>
  <c r="R7" i="4"/>
  <c r="J8" i="4"/>
  <c r="K8" i="4"/>
  <c r="L8" i="4"/>
  <c r="M8" i="4"/>
  <c r="P8" i="4"/>
  <c r="Q8" i="4"/>
  <c r="R8" i="4"/>
  <c r="J9" i="4"/>
  <c r="K9" i="4"/>
  <c r="L9" i="4"/>
  <c r="M9" i="4"/>
  <c r="P9" i="4"/>
  <c r="Q9" i="4"/>
  <c r="R9" i="4"/>
  <c r="J10" i="4"/>
  <c r="K10" i="4"/>
  <c r="L10" i="4"/>
  <c r="M10" i="4"/>
  <c r="P10" i="4"/>
  <c r="Q10" i="4"/>
  <c r="R10" i="4"/>
  <c r="J11" i="4"/>
  <c r="K11" i="4"/>
  <c r="L11" i="4"/>
  <c r="M11" i="4"/>
  <c r="P11" i="4"/>
  <c r="Q11" i="4"/>
  <c r="R11" i="4"/>
  <c r="J12" i="4"/>
  <c r="K12" i="4"/>
  <c r="L12" i="4"/>
  <c r="M12" i="4"/>
  <c r="P12" i="4"/>
  <c r="Q12" i="4"/>
  <c r="R12" i="4"/>
  <c r="J13" i="4"/>
  <c r="K13" i="4"/>
  <c r="L13" i="4"/>
  <c r="M13" i="4"/>
  <c r="P13" i="4"/>
  <c r="Q13" i="4"/>
  <c r="R13" i="4"/>
  <c r="J14" i="4"/>
  <c r="K14" i="4"/>
  <c r="L14" i="4"/>
  <c r="M14" i="4"/>
  <c r="P14" i="4"/>
  <c r="Q14" i="4"/>
  <c r="R14" i="4"/>
  <c r="J15" i="4"/>
  <c r="K15" i="4"/>
  <c r="L15" i="4"/>
  <c r="M15" i="4"/>
  <c r="P15" i="4"/>
  <c r="Q15" i="4"/>
  <c r="R15" i="4"/>
  <c r="J16" i="4"/>
  <c r="K16" i="4"/>
  <c r="L16" i="4"/>
  <c r="M16" i="4"/>
  <c r="P16" i="4"/>
  <c r="Q16" i="4"/>
  <c r="R16" i="4"/>
  <c r="J17" i="4"/>
  <c r="K17" i="4"/>
  <c r="L17" i="4"/>
  <c r="M17" i="4"/>
  <c r="P17" i="4"/>
  <c r="Q17" i="4"/>
  <c r="R17" i="4"/>
  <c r="J18" i="4"/>
  <c r="K18" i="4"/>
  <c r="L18" i="4"/>
  <c r="M18" i="4"/>
  <c r="P18" i="4"/>
  <c r="Q18" i="4"/>
  <c r="R18" i="4"/>
  <c r="J19" i="4"/>
  <c r="K19" i="4"/>
  <c r="L19" i="4"/>
  <c r="M19" i="4"/>
  <c r="P19" i="4"/>
  <c r="Q19" i="4"/>
  <c r="R19" i="4"/>
  <c r="J20" i="4"/>
  <c r="K20" i="4"/>
  <c r="L20" i="4"/>
  <c r="M20" i="4"/>
  <c r="P20" i="4"/>
  <c r="Q20" i="4"/>
  <c r="R20" i="4"/>
  <c r="J21" i="4"/>
  <c r="K21" i="4"/>
  <c r="L21" i="4"/>
  <c r="M21" i="4"/>
  <c r="P21" i="4"/>
  <c r="Q21" i="4"/>
  <c r="R21" i="4"/>
  <c r="J22" i="4"/>
  <c r="K22" i="4"/>
  <c r="L22" i="4"/>
  <c r="M22" i="4"/>
  <c r="P22" i="4"/>
  <c r="Q22" i="4"/>
  <c r="R22" i="4"/>
  <c r="J23" i="4"/>
  <c r="K23" i="4"/>
  <c r="L23" i="4"/>
  <c r="M23" i="4"/>
  <c r="P23" i="4"/>
  <c r="Q23" i="4"/>
  <c r="R23" i="4"/>
  <c r="J24" i="4"/>
  <c r="K24" i="4"/>
  <c r="L24" i="4"/>
  <c r="M24" i="4"/>
  <c r="P24" i="4"/>
  <c r="Q24" i="4"/>
  <c r="R24" i="4"/>
  <c r="J25" i="4"/>
  <c r="K25" i="4"/>
  <c r="L25" i="4"/>
  <c r="M25" i="4"/>
  <c r="P25" i="4"/>
  <c r="Q25" i="4"/>
  <c r="R25" i="4"/>
  <c r="J26" i="4"/>
  <c r="K26" i="4"/>
  <c r="L26" i="4"/>
  <c r="M26" i="4"/>
  <c r="P26" i="4"/>
  <c r="Q26" i="4"/>
  <c r="R26" i="4"/>
  <c r="J27" i="4"/>
  <c r="K27" i="4"/>
  <c r="L27" i="4"/>
  <c r="M27" i="4"/>
  <c r="P27" i="4"/>
  <c r="Q27" i="4"/>
  <c r="R27" i="4"/>
  <c r="I28" i="4"/>
  <c r="J28" i="4"/>
  <c r="K28" i="4"/>
  <c r="M28" i="4"/>
  <c r="P28" i="4"/>
  <c r="Q28" i="4"/>
  <c r="R28" i="4"/>
  <c r="S28" i="4"/>
  <c r="T28" i="4"/>
  <c r="U28" i="4"/>
  <c r="V28" i="4"/>
  <c r="U30" i="4"/>
  <c r="U31" i="4"/>
  <c r="U32" i="4"/>
</calcChain>
</file>

<file path=xl/sharedStrings.xml><?xml version="1.0" encoding="utf-8"?>
<sst xmlns="http://schemas.openxmlformats.org/spreadsheetml/2006/main" count="177" uniqueCount="59">
  <si>
    <t>Battery Size</t>
  </si>
  <si>
    <t>kWh</t>
  </si>
  <si>
    <t>Totals</t>
  </si>
  <si>
    <t>Max Charge Rate</t>
  </si>
  <si>
    <t>Max Discharge Rate</t>
  </si>
  <si>
    <t>Max Array Output</t>
  </si>
  <si>
    <t>Max Inverter Output</t>
  </si>
  <si>
    <t>Charging Losses</t>
  </si>
  <si>
    <t>Battery Level (kWh)</t>
  </si>
  <si>
    <t>Although best efforts have been</t>
  </si>
  <si>
    <t>Therefore no warranty is provided.</t>
  </si>
  <si>
    <t>taken to ensure accuracy, this</t>
  </si>
  <si>
    <t>Home Consumption (kWh)</t>
  </si>
  <si>
    <t>Solar Generation (kWh)</t>
  </si>
  <si>
    <t xml:space="preserve"> Battery Charge (kW)</t>
  </si>
  <si>
    <t>Battery Discharge (kW)</t>
  </si>
  <si>
    <t>Grid Import (kWh)</t>
  </si>
  <si>
    <t>Grid Export (kWh)</t>
  </si>
  <si>
    <t>Solar Model (0-&gt;1)</t>
  </si>
  <si>
    <t>Yellow cells are editable</t>
  </si>
  <si>
    <t>kW</t>
  </si>
  <si>
    <t>Import Cost (£)</t>
  </si>
  <si>
    <t>Export Price/kWh</t>
  </si>
  <si>
    <t>Export Revenue (£)</t>
  </si>
  <si>
    <t>Daily</t>
  </si>
  <si>
    <t>Cost</t>
  </si>
  <si>
    <t>Discharging Losses</t>
  </si>
  <si>
    <t>Hour of Day</t>
  </si>
  <si>
    <t>*</t>
  </si>
  <si>
    <t>batteries, set to 0% and 3%.</t>
  </si>
  <si>
    <t>to 6% and 3%. For DC-coupled</t>
  </si>
  <si>
    <t>*For AC-coupled batteries, set</t>
  </si>
  <si>
    <t>Standing</t>
  </si>
  <si>
    <t>Import Price/kWh (£)</t>
  </si>
  <si>
    <t>utility may contain  errors.</t>
  </si>
  <si>
    <t>Battery top up off pk</t>
  </si>
  <si>
    <t>Charge (£)</t>
  </si>
  <si>
    <t xml:space="preserve">Weekly </t>
  </si>
  <si>
    <t>Weather factor</t>
  </si>
  <si>
    <t>Day length factor</t>
  </si>
  <si>
    <t>Seasonal average:-</t>
  </si>
  <si>
    <t>May to August</t>
  </si>
  <si>
    <t>November-February</t>
  </si>
  <si>
    <t>March-April + September-October</t>
  </si>
  <si>
    <t>Season</t>
  </si>
  <si>
    <t>Annual cost</t>
  </si>
  <si>
    <t xml:space="preserve">Export </t>
  </si>
  <si>
    <t xml:space="preserve">Season </t>
  </si>
  <si>
    <t>export</t>
  </si>
  <si>
    <t>Export</t>
  </si>
  <si>
    <t>Annual export</t>
  </si>
  <si>
    <t>Net cost</t>
  </si>
  <si>
    <t>Annual Export</t>
  </si>
  <si>
    <t>For a system with no battery, set C9 to zero in Summer sheet</t>
  </si>
  <si>
    <t>For a system with no solar, set C6 to zero on Summer sheet</t>
  </si>
  <si>
    <t>For a system with no FIT or SEG, set C8 to zero on Summer sheet</t>
  </si>
  <si>
    <t>Solar calculator - Three seasons_V1b (includes export revenue)</t>
  </si>
  <si>
    <t>Weather factor reduces average generation to allow for cloudy days on each sheet</t>
  </si>
  <si>
    <t>Day length factor reduces solar model to allow for shorter days on each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</si>
</sst>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£&quot;#,##0.00;[Red]\-&quot;£&quot;#,##0.00"/>
    <numFmt numFmtId="164" formatCode="&quot;£&quot;#,##0.00"/>
    <numFmt numFmtId="165" formatCode="#,##0.00_ ;[Red]\-#,##0.00\ "/>
    <numFmt numFmtId="166" formatCode="#,##0.000"/>
    <numFmt numFmtId="167" formatCode="0.000"/>
    <numFmt numFmtId="168" formatCode="&quot;£&quot;#,##0.0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</cellStyleXfs>
  <cellXfs count="156">
    <xf numFmtId="0" fontId="0" fillId="0" borderId="0" xfId="0"/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2" fontId="2" fillId="3" borderId="0" xfId="0" applyNumberFormat="1" applyFont="1" applyFill="1" applyAlignment="1">
      <alignment horizontal="right"/>
    </xf>
    <xf numFmtId="2" fontId="2" fillId="3" borderId="0" xfId="0" applyNumberFormat="1" applyFont="1" applyFill="1"/>
    <xf numFmtId="2" fontId="6" fillId="0" borderId="0" xfId="0" applyNumberFormat="1" applyFont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0" fillId="4" borderId="0" xfId="0" applyFill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2" applyFill="1" applyAlignment="1">
      <alignment horizontal="left"/>
    </xf>
    <xf numFmtId="0" fontId="8" fillId="0" borderId="0" xfId="2" applyFill="1"/>
    <xf numFmtId="2" fontId="2" fillId="5" borderId="0" xfId="0" applyNumberFormat="1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2" fontId="0" fillId="5" borderId="0" xfId="0" applyNumberFormat="1" applyFill="1"/>
    <xf numFmtId="164" fontId="2" fillId="3" borderId="0" xfId="0" applyNumberFormat="1" applyFont="1" applyFill="1"/>
    <xf numFmtId="0" fontId="0" fillId="5" borderId="4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164" fontId="0" fillId="0" borderId="0" xfId="0" applyNumberFormat="1"/>
    <xf numFmtId="0" fontId="10" fillId="0" borderId="0" xfId="0" applyFont="1" applyAlignment="1">
      <alignment vertical="top" wrapText="1"/>
    </xf>
    <xf numFmtId="0" fontId="7" fillId="4" borderId="0" xfId="0" applyFont="1" applyFill="1" applyAlignment="1">
      <alignment horizontal="left"/>
    </xf>
    <xf numFmtId="0" fontId="0" fillId="2" borderId="0" xfId="0" applyFill="1" applyBorder="1"/>
    <xf numFmtId="0" fontId="0" fillId="2" borderId="8" xfId="0" applyFill="1" applyBorder="1"/>
    <xf numFmtId="9" fontId="0" fillId="2" borderId="0" xfId="1" applyFont="1" applyFill="1" applyBorder="1"/>
    <xf numFmtId="0" fontId="0" fillId="4" borderId="0" xfId="0" applyFill="1" applyBorder="1"/>
    <xf numFmtId="0" fontId="0" fillId="4" borderId="1" xfId="0" applyFill="1" applyBorder="1"/>
    <xf numFmtId="2" fontId="4" fillId="5" borderId="5" xfId="0" applyNumberFormat="1" applyFont="1" applyFill="1" applyBorder="1" applyAlignment="1">
      <alignment horizontal="left"/>
    </xf>
    <xf numFmtId="0" fontId="0" fillId="5" borderId="5" xfId="0" applyFill="1" applyBorder="1"/>
    <xf numFmtId="0" fontId="0" fillId="5" borderId="7" xfId="0" applyFill="1" applyBorder="1"/>
    <xf numFmtId="0" fontId="0" fillId="6" borderId="2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2" fontId="4" fillId="6" borderId="3" xfId="0" applyNumberFormat="1" applyFont="1" applyFill="1" applyBorder="1" applyAlignment="1">
      <alignment horizontal="left"/>
    </xf>
    <xf numFmtId="2" fontId="4" fillId="6" borderId="5" xfId="0" applyNumberFormat="1" applyFont="1" applyFill="1" applyBorder="1" applyAlignment="1">
      <alignment horizontal="left"/>
    </xf>
    <xf numFmtId="0" fontId="0" fillId="6" borderId="6" xfId="0" applyFill="1" applyBorder="1" applyAlignment="1">
      <alignment horizontal="right"/>
    </xf>
    <xf numFmtId="164" fontId="0" fillId="4" borderId="1" xfId="0" applyNumberFormat="1" applyFill="1" applyBorder="1"/>
    <xf numFmtId="2" fontId="3" fillId="6" borderId="7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5" borderId="5" xfId="0" applyFont="1" applyFill="1" applyBorder="1"/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8" fontId="4" fillId="2" borderId="0" xfId="4" applyNumberFormat="1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0" fillId="0" borderId="3" xfId="0" applyBorder="1"/>
    <xf numFmtId="0" fontId="4" fillId="0" borderId="6" xfId="0" applyFont="1" applyBorder="1"/>
    <xf numFmtId="0" fontId="0" fillId="2" borderId="7" xfId="0" applyFill="1" applyBorder="1"/>
    <xf numFmtId="2" fontId="4" fillId="7" borderId="0" xfId="3" applyNumberFormat="1" applyFont="1" applyAlignment="1">
      <alignment horizontal="right"/>
    </xf>
    <xf numFmtId="0" fontId="4" fillId="0" borderId="4" xfId="0" applyFont="1" applyBorder="1"/>
    <xf numFmtId="0" fontId="0" fillId="2" borderId="5" xfId="0" applyFill="1" applyBorder="1"/>
    <xf numFmtId="0" fontId="13" fillId="0" borderId="0" xfId="0" applyFont="1" applyAlignment="1">
      <alignment vertical="top" wrapText="1"/>
    </xf>
    <xf numFmtId="0" fontId="13" fillId="0" borderId="2" xfId="0" applyFont="1" applyBorder="1"/>
    <xf numFmtId="0" fontId="13" fillId="0" borderId="0" xfId="0" applyFont="1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2" fontId="2" fillId="0" borderId="0" xfId="0" applyNumberFormat="1" applyFont="1" applyAlignment="1" applyProtection="1">
      <alignment horizontal="right" wrapText="1"/>
      <protection locked="0"/>
    </xf>
    <xf numFmtId="2" fontId="2" fillId="0" borderId="0" xfId="0" applyNumberFormat="1" applyFont="1" applyAlignment="1" applyProtection="1">
      <alignment horizontal="center" vertical="top" wrapText="1"/>
      <protection locked="0"/>
    </xf>
    <xf numFmtId="2" fontId="2" fillId="5" borderId="0" xfId="0" applyNumberFormat="1" applyFont="1" applyFill="1" applyAlignment="1" applyProtection="1">
      <alignment horizontal="right" wrapText="1"/>
      <protection locked="0"/>
    </xf>
    <xf numFmtId="0" fontId="2" fillId="5" borderId="0" xfId="0" applyFont="1" applyFill="1" applyAlignment="1" applyProtection="1">
      <alignment horizontal="right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2" fontId="2" fillId="0" borderId="0" xfId="0" applyNumberFormat="1" applyFont="1" applyAlignment="1" applyProtection="1">
      <alignment horizontal="center" wrapText="1"/>
      <protection locked="0"/>
    </xf>
    <xf numFmtId="0" fontId="8" fillId="0" borderId="0" xfId="2" applyFill="1" applyAlignment="1" applyProtection="1">
      <alignment horizontal="lef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4" fillId="7" borderId="0" xfId="3" applyNumberFormat="1" applyFont="1" applyAlignment="1" applyProtection="1">
      <alignment horizontal="right"/>
      <protection locked="0"/>
    </xf>
    <xf numFmtId="2" fontId="0" fillId="5" borderId="0" xfId="0" applyNumberFormat="1" applyFill="1" applyProtection="1">
      <protection locked="0"/>
    </xf>
    <xf numFmtId="164" fontId="0" fillId="0" borderId="0" xfId="0" applyNumberFormat="1" applyProtection="1">
      <protection locked="0"/>
    </xf>
    <xf numFmtId="0" fontId="0" fillId="6" borderId="2" xfId="0" applyFill="1" applyBorder="1" applyAlignment="1" applyProtection="1">
      <alignment horizontal="right"/>
      <protection locked="0"/>
    </xf>
    <xf numFmtId="2" fontId="4" fillId="6" borderId="3" xfId="0" applyNumberFormat="1" applyFont="1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right"/>
      <protection locked="0"/>
    </xf>
    <xf numFmtId="2" fontId="4" fillId="6" borderId="5" xfId="0" applyNumberFormat="1" applyFont="1" applyFill="1" applyBorder="1" applyAlignment="1" applyProtection="1">
      <alignment horizontal="left"/>
      <protection locked="0"/>
    </xf>
    <xf numFmtId="0" fontId="0" fillId="6" borderId="6" xfId="0" applyFill="1" applyBorder="1" applyAlignment="1" applyProtection="1">
      <alignment horizontal="right"/>
      <protection locked="0"/>
    </xf>
    <xf numFmtId="2" fontId="3" fillId="6" borderId="7" xfId="0" applyNumberFormat="1" applyFont="1" applyFill="1" applyBorder="1" applyAlignment="1" applyProtection="1">
      <alignment horizontal="right"/>
      <protection locked="0"/>
    </xf>
    <xf numFmtId="0" fontId="0" fillId="5" borderId="4" xfId="0" applyFill="1" applyBorder="1" applyAlignment="1" applyProtection="1">
      <alignment horizontal="right"/>
      <protection locked="0"/>
    </xf>
    <xf numFmtId="2" fontId="4" fillId="5" borderId="5" xfId="0" applyNumberFormat="1" applyFont="1" applyFill="1" applyBorder="1" applyAlignment="1" applyProtection="1">
      <alignment horizontal="left"/>
      <protection locked="0"/>
    </xf>
    <xf numFmtId="0" fontId="7" fillId="5" borderId="5" xfId="0" applyFon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6" xfId="0" applyFill="1" applyBorder="1" applyAlignment="1" applyProtection="1">
      <alignment horizontal="right"/>
      <protection locked="0"/>
    </xf>
    <xf numFmtId="0" fontId="0" fillId="5" borderId="7" xfId="0" applyFill="1" applyBorder="1" applyProtection="1">
      <protection locked="0"/>
    </xf>
    <xf numFmtId="0" fontId="7" fillId="4" borderId="0" xfId="0" applyFont="1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2" applyFill="1" applyProtection="1">
      <protection locked="0"/>
    </xf>
    <xf numFmtId="8" fontId="4" fillId="0" borderId="0" xfId="4" applyNumberFormat="1" applyFont="1" applyFill="1" applyAlignment="1" applyProtection="1">
      <alignment horizontal="right"/>
      <protection locked="0"/>
    </xf>
    <xf numFmtId="0" fontId="13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4" fillId="0" borderId="4" xfId="0" applyFont="1" applyBorder="1" applyProtection="1">
      <protection locked="0"/>
    </xf>
    <xf numFmtId="0" fontId="0" fillId="2" borderId="5" xfId="0" applyFill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0" fontId="0" fillId="2" borderId="7" xfId="0" applyFill="1" applyBorder="1" applyProtection="1">
      <protection locked="0"/>
    </xf>
    <xf numFmtId="0" fontId="2" fillId="0" borderId="0" xfId="0" applyFont="1" applyProtection="1"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2" fillId="3" borderId="0" xfId="0" applyFont="1" applyFill="1" applyProtection="1">
      <protection locked="0"/>
    </xf>
    <xf numFmtId="2" fontId="5" fillId="3" borderId="0" xfId="0" applyNumberFormat="1" applyFont="1" applyFill="1" applyAlignment="1" applyProtection="1">
      <alignment horizontal="right"/>
      <protection locked="0"/>
    </xf>
    <xf numFmtId="2" fontId="2" fillId="3" borderId="0" xfId="0" applyNumberFormat="1" applyFont="1" applyFill="1" applyAlignment="1" applyProtection="1">
      <alignment horizontal="right"/>
      <protection locked="0"/>
    </xf>
    <xf numFmtId="2" fontId="2" fillId="3" borderId="0" xfId="0" applyNumberFormat="1" applyFont="1" applyFill="1" applyProtection="1">
      <protection locked="0"/>
    </xf>
    <xf numFmtId="164" fontId="2" fillId="3" borderId="0" xfId="0" applyNumberFormat="1" applyFont="1" applyFill="1" applyProtection="1">
      <protection locked="0"/>
    </xf>
    <xf numFmtId="0" fontId="14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0" fillId="6" borderId="8" xfId="0" applyFill="1" applyBorder="1" applyProtection="1"/>
    <xf numFmtId="0" fontId="0" fillId="6" borderId="0" xfId="0" applyFill="1" applyBorder="1" applyProtection="1"/>
    <xf numFmtId="164" fontId="0" fillId="6" borderId="1" xfId="0" applyNumberFormat="1" applyFill="1" applyBorder="1" applyProtection="1"/>
    <xf numFmtId="0" fontId="0" fillId="5" borderId="0" xfId="0" applyFill="1" applyBorder="1" applyProtection="1"/>
    <xf numFmtId="9" fontId="0" fillId="5" borderId="0" xfId="1" applyFont="1" applyFill="1" applyBorder="1" applyProtection="1"/>
    <xf numFmtId="0" fontId="0" fillId="5" borderId="1" xfId="0" applyFill="1" applyBorder="1" applyProtection="1"/>
    <xf numFmtId="0" fontId="0" fillId="5" borderId="2" xfId="0" applyFill="1" applyBorder="1" applyAlignment="1" applyProtection="1">
      <alignment horizontal="right"/>
      <protection locked="0"/>
    </xf>
    <xf numFmtId="2" fontId="4" fillId="5" borderId="3" xfId="0" applyNumberFormat="1" applyFont="1" applyFill="1" applyBorder="1" applyAlignment="1" applyProtection="1">
      <alignment horizontal="left"/>
      <protection locked="0"/>
    </xf>
    <xf numFmtId="165" fontId="4" fillId="0" borderId="0" xfId="4" applyNumberFormat="1" applyFont="1" applyFill="1" applyAlignment="1" applyProtection="1">
      <alignment horizontal="right"/>
      <protection locked="0"/>
    </xf>
    <xf numFmtId="0" fontId="4" fillId="6" borderId="8" xfId="4" applyFont="1" applyFill="1" applyBorder="1" applyProtection="1"/>
    <xf numFmtId="0" fontId="4" fillId="6" borderId="0" xfId="4" applyFont="1" applyFill="1" applyBorder="1" applyProtection="1"/>
    <xf numFmtId="164" fontId="4" fillId="6" borderId="1" xfId="4" applyNumberFormat="1" applyFont="1" applyFill="1" applyBorder="1" applyAlignment="1" applyProtection="1">
      <alignment horizontal="right"/>
    </xf>
    <xf numFmtId="0" fontId="4" fillId="5" borderId="8" xfId="3" applyFont="1" applyFill="1" applyBorder="1" applyProtection="1"/>
    <xf numFmtId="9" fontId="4" fillId="5" borderId="0" xfId="3" applyNumberFormat="1" applyFont="1" applyFill="1" applyBorder="1" applyProtection="1"/>
    <xf numFmtId="0" fontId="4" fillId="5" borderId="0" xfId="3" applyFont="1" applyFill="1" applyBorder="1" applyProtection="1"/>
    <xf numFmtId="0" fontId="4" fillId="5" borderId="1" xfId="3" applyFont="1" applyFill="1" applyBorder="1" applyProtection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164" fontId="16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right"/>
      <protection locked="0"/>
    </xf>
    <xf numFmtId="164" fontId="13" fillId="0" borderId="0" xfId="0" applyNumberFormat="1" applyFont="1" applyAlignment="1" applyProtection="1">
      <alignment horizontal="right"/>
      <protection locked="0"/>
    </xf>
    <xf numFmtId="164" fontId="16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164" fontId="9" fillId="3" borderId="0" xfId="0" applyNumberFormat="1" applyFont="1" applyFill="1" applyAlignment="1" applyProtection="1">
      <alignment horizontal="right"/>
      <protection locked="0"/>
    </xf>
    <xf numFmtId="164" fontId="13" fillId="3" borderId="0" xfId="0" applyNumberFormat="1" applyFont="1" applyFill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164" fontId="13" fillId="3" borderId="0" xfId="0" applyNumberFormat="1" applyFont="1" applyFill="1" applyAlignment="1">
      <alignment horizontal="right"/>
    </xf>
    <xf numFmtId="166" fontId="4" fillId="2" borderId="0" xfId="3" applyNumberFormat="1" applyFont="1" applyFill="1" applyAlignment="1"/>
    <xf numFmtId="166" fontId="0" fillId="2" borderId="0" xfId="0" applyNumberFormat="1" applyFill="1"/>
    <xf numFmtId="167" fontId="0" fillId="0" borderId="0" xfId="0" applyNumberFormat="1" applyProtection="1">
      <protection locked="0"/>
    </xf>
    <xf numFmtId="168" fontId="0" fillId="0" borderId="0" xfId="0" applyNumberFormat="1"/>
  </cellXfs>
  <cellStyles count="5">
    <cellStyle name="Good" xfId="3" builtinId="26"/>
    <cellStyle name="Hyperlink" xfId="2" builtinId="8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4"/>
  <sheetViews>
    <sheetView showGridLines="0" zoomScaleNormal="100" workbookViewId="0">
      <selection activeCell="B1" sqref="B1"/>
    </sheetView>
  </sheetViews>
  <sheetFormatPr defaultColWidth="11" defaultRowHeight="15.75" x14ac:dyDescent="0.25"/>
  <cols>
    <col min="1" max="1" width="2.125" customWidth="1"/>
    <col min="2" max="2" width="17" customWidth="1"/>
    <col min="3" max="3" width="5.5" customWidth="1"/>
    <col min="4" max="4" width="4.75" customWidth="1"/>
    <col min="5" max="5" width="5.375" style="6" customWidth="1"/>
    <col min="6" max="6" width="12" customWidth="1"/>
    <col min="7" max="7" width="6.875" style="12" customWidth="1"/>
    <col min="8" max="9" width="10.375" style="5" customWidth="1"/>
    <col min="10" max="11" width="9.125" style="2" customWidth="1"/>
    <col min="12" max="12" width="8.625" customWidth="1"/>
    <col min="13" max="13" width="8" style="2" customWidth="1"/>
    <col min="14" max="14" width="9.625" style="2" customWidth="1"/>
    <col min="15" max="15" width="1.875" style="2" customWidth="1"/>
    <col min="16" max="16" width="6.875" customWidth="1"/>
    <col min="17" max="17" width="8.125" style="2" customWidth="1"/>
    <col min="18" max="18" width="8.5" customWidth="1"/>
    <col min="19" max="19" width="8.75" customWidth="1"/>
    <col min="20" max="20" width="8.125" customWidth="1"/>
    <col min="21" max="21" width="9.125" customWidth="1"/>
    <col min="22" max="22" width="8.625" customWidth="1"/>
  </cols>
  <sheetData>
    <row r="1" spans="2:19" ht="17.25" customHeight="1" x14ac:dyDescent="0.25">
      <c r="B1" s="64" t="s">
        <v>56</v>
      </c>
    </row>
    <row r="2" spans="2:19" s="3" customFormat="1" ht="47.1" customHeight="1" x14ac:dyDescent="0.25">
      <c r="B2" s="60" t="s">
        <v>41</v>
      </c>
      <c r="E2" s="3" t="s">
        <v>27</v>
      </c>
      <c r="F2" s="3" t="s">
        <v>12</v>
      </c>
      <c r="G2" s="3" t="s">
        <v>18</v>
      </c>
      <c r="H2" s="4" t="s">
        <v>13</v>
      </c>
      <c r="I2" s="46" t="s">
        <v>35</v>
      </c>
      <c r="J2" s="19" t="s">
        <v>14</v>
      </c>
      <c r="K2" s="19" t="s">
        <v>15</v>
      </c>
      <c r="L2" s="20" t="s">
        <v>8</v>
      </c>
      <c r="M2" s="4" t="s">
        <v>16</v>
      </c>
      <c r="N2" s="4" t="s">
        <v>33</v>
      </c>
      <c r="O2" s="4"/>
      <c r="P2" s="4" t="s">
        <v>21</v>
      </c>
      <c r="Q2" s="4" t="s">
        <v>17</v>
      </c>
      <c r="R2" s="4" t="s">
        <v>23</v>
      </c>
      <c r="S2" s="4"/>
    </row>
    <row r="3" spans="2:19" s="3" customFormat="1" ht="8.25" customHeight="1" x14ac:dyDescent="0.25">
      <c r="B3" s="26"/>
      <c r="H3" s="4"/>
      <c r="I3" s="45"/>
      <c r="J3" s="19"/>
      <c r="K3" s="19"/>
      <c r="L3" s="20"/>
      <c r="M3" s="4"/>
      <c r="N3" s="4"/>
      <c r="O3" s="4"/>
      <c r="P3" s="4"/>
      <c r="Q3" s="4"/>
      <c r="R3" s="4"/>
      <c r="S3" s="4"/>
    </row>
    <row r="4" spans="2:19" x14ac:dyDescent="0.25">
      <c r="B4" s="17"/>
      <c r="E4" s="43">
        <v>0</v>
      </c>
      <c r="F4" s="7">
        <v>1.5</v>
      </c>
      <c r="G4" s="53">
        <v>0</v>
      </c>
      <c r="H4" s="5">
        <f>MIN($C$6*$C$26*MAX(G4-$C$27,0),$C$7)</f>
        <v>0</v>
      </c>
      <c r="I4" s="57">
        <f ca="1">MIN($C$12, $C$9-L27)</f>
        <v>5</v>
      </c>
      <c r="J4" s="21">
        <f t="shared" ref="J4:J7" si="0">MIN(MAX(H4-F4, 0),$C$9-L3,$C$12)</f>
        <v>0</v>
      </c>
      <c r="K4" s="21">
        <f ca="1">IF(I4&gt;0,0,-MIN(MAX(F4-H4,0),L3*(1-$C$11),$C$13))</f>
        <v>0</v>
      </c>
      <c r="L4" s="21">
        <f ca="1">L27+J4*(1-$C$10)+K4*(1+$C$11)+I4*(1-$C$10)</f>
        <v>12.632399970351074</v>
      </c>
      <c r="M4" s="2">
        <f ca="1">MAX(F4-H4+K4,0)+I4</f>
        <v>6.5</v>
      </c>
      <c r="N4" s="152">
        <v>7.4999999999999997E-2</v>
      </c>
      <c r="P4" s="25">
        <f t="shared" ref="P4:P27" ca="1" si="1">M4*N4</f>
        <v>0.48749999999999999</v>
      </c>
      <c r="Q4" s="2">
        <f t="shared" ref="Q4:Q27" si="2">MAX(H4-F4, 0)-J4</f>
        <v>0</v>
      </c>
      <c r="R4" s="25">
        <f t="shared" ref="R4:R27" si="3">Q4*$C$8</f>
        <v>0</v>
      </c>
    </row>
    <row r="5" spans="2:19" x14ac:dyDescent="0.25">
      <c r="E5" s="43">
        <v>1</v>
      </c>
      <c r="F5" s="7">
        <v>1.5</v>
      </c>
      <c r="G5" s="53">
        <v>0</v>
      </c>
      <c r="H5" s="5">
        <f t="shared" ref="H5:H27" si="4">MIN($C$6*$C$26*MAX(G5-$C$27,0),$C$7)</f>
        <v>0</v>
      </c>
      <c r="I5" s="57">
        <f ca="1">MIN($C$12, $C$9-L4)</f>
        <v>0.36760002964892635</v>
      </c>
      <c r="J5" s="21">
        <f t="shared" ca="1" si="0"/>
        <v>0</v>
      </c>
      <c r="K5" s="21">
        <f ca="1">IF(I5&gt;0,0,-MIN(MAX(F5-H5,0),L4*(1-$C$11),$C$13))</f>
        <v>0</v>
      </c>
      <c r="L5" s="21">
        <f ca="1">L4+J5*(1-$C$10)+K5*(1+$C$11)+I5*(1-$C$10)</f>
        <v>12.977943998221065</v>
      </c>
      <c r="M5" s="2">
        <f t="shared" ref="M5:M7" ca="1" si="5">MAX(F5-H5+K5,0)+I5</f>
        <v>1.8676000296489264</v>
      </c>
      <c r="N5" s="152">
        <v>7.4999999999999997E-2</v>
      </c>
      <c r="P5" s="25">
        <f t="shared" ca="1" si="1"/>
        <v>0.14007000222366947</v>
      </c>
      <c r="Q5" s="2">
        <f t="shared" ca="1" si="2"/>
        <v>0</v>
      </c>
      <c r="R5" s="25">
        <f t="shared" ca="1" si="3"/>
        <v>0</v>
      </c>
    </row>
    <row r="6" spans="2:19" x14ac:dyDescent="0.25">
      <c r="B6" s="36" t="s">
        <v>5</v>
      </c>
      <c r="C6" s="29">
        <v>4</v>
      </c>
      <c r="D6" s="38" t="s">
        <v>20</v>
      </c>
      <c r="E6" s="43">
        <v>2</v>
      </c>
      <c r="F6" s="7">
        <v>1.5</v>
      </c>
      <c r="G6" s="53">
        <v>0</v>
      </c>
      <c r="H6" s="5">
        <f t="shared" si="4"/>
        <v>0</v>
      </c>
      <c r="I6" s="57">
        <f ca="1">MIN($C$12, $C$9-L5)</f>
        <v>2.2056001778935297E-2</v>
      </c>
      <c r="J6" s="21">
        <f t="shared" ca="1" si="0"/>
        <v>0</v>
      </c>
      <c r="K6" s="21">
        <f ca="1">IF(I6&gt;0,0,-MIN(MAX(F6-H6,0),L5*(1-$C$11),$C$13))</f>
        <v>0</v>
      </c>
      <c r="L6" s="21">
        <f ca="1">L5+J6*(1-$C$10)+K6*(1+$C$11)+I6*(1-$C$10)</f>
        <v>12.998676639893263</v>
      </c>
      <c r="M6" s="2">
        <f t="shared" ca="1" si="5"/>
        <v>1.5220560017789353</v>
      </c>
      <c r="N6" s="152">
        <v>7.4999999999999997E-2</v>
      </c>
      <c r="P6" s="25">
        <f t="shared" ca="1" si="1"/>
        <v>0.11415420013342015</v>
      </c>
      <c r="Q6" s="2">
        <f t="shared" ca="1" si="2"/>
        <v>0</v>
      </c>
      <c r="R6" s="25">
        <f t="shared" ca="1" si="3"/>
        <v>0</v>
      </c>
    </row>
    <row r="7" spans="2:19" ht="15" customHeight="1" x14ac:dyDescent="0.25">
      <c r="B7" s="37" t="s">
        <v>6</v>
      </c>
      <c r="C7" s="28">
        <v>4</v>
      </c>
      <c r="D7" s="39" t="s">
        <v>20</v>
      </c>
      <c r="E7" s="43">
        <v>3</v>
      </c>
      <c r="F7" s="7">
        <v>1.5</v>
      </c>
      <c r="G7" s="53">
        <v>0</v>
      </c>
      <c r="H7" s="5">
        <f t="shared" si="4"/>
        <v>0</v>
      </c>
      <c r="I7" s="57">
        <f ca="1">MIN($C$12, $C$9-L6)</f>
        <v>1.3233601067366152E-3</v>
      </c>
      <c r="J7" s="21">
        <f t="shared" ca="1" si="0"/>
        <v>0</v>
      </c>
      <c r="K7" s="21">
        <f ca="1">IF(I7&gt;0,0,-MIN(MAX(F7-H7,0),L6*(1-$C$11),$C$13))</f>
        <v>0</v>
      </c>
      <c r="L7" s="21">
        <f ca="1">L6+J7*(1-$C$10)+K7*(1+$C$11)+I7*(1-$C$10)</f>
        <v>12.999920598393595</v>
      </c>
      <c r="M7" s="2">
        <f t="shared" ca="1" si="5"/>
        <v>1.5013233601067366</v>
      </c>
      <c r="N7" s="152">
        <v>7.4999999999999997E-2</v>
      </c>
      <c r="P7" s="25">
        <f t="shared" ca="1" si="1"/>
        <v>0.11259925200800525</v>
      </c>
      <c r="Q7" s="2">
        <f t="shared" ca="1" si="2"/>
        <v>0</v>
      </c>
      <c r="R7" s="25">
        <f t="shared" ca="1" si="3"/>
        <v>0</v>
      </c>
    </row>
    <row r="8" spans="2:19" x14ac:dyDescent="0.25">
      <c r="B8" s="40" t="s">
        <v>22</v>
      </c>
      <c r="C8" s="41">
        <v>0.05</v>
      </c>
      <c r="D8" s="42"/>
      <c r="E8" s="43">
        <v>4</v>
      </c>
      <c r="F8" s="7">
        <v>0.3</v>
      </c>
      <c r="G8" s="53">
        <v>0</v>
      </c>
      <c r="H8" s="5">
        <f t="shared" si="4"/>
        <v>0</v>
      </c>
      <c r="I8" s="5">
        <v>0</v>
      </c>
      <c r="J8" s="21">
        <f t="shared" ref="J8:J27" ca="1" si="6">MIN(MAX(H8-F8, 0),$C$9-L7,$C$12)</f>
        <v>0</v>
      </c>
      <c r="K8" s="21">
        <f ca="1">IF(I8&gt;0,0,-MIN(MAX(F8-H8,0),L7*(1-$C$11),$C$13))</f>
        <v>-0.3</v>
      </c>
      <c r="L8" s="21">
        <f ca="1">L7+J8*(1-$C$10)+K8*(1+$C$11)+I8*(1-$C$10)</f>
        <v>12.690920598393596</v>
      </c>
      <c r="M8" s="2">
        <f t="shared" ref="M8:M27" ca="1" si="7">MAX(F8-H8+K8,0)</f>
        <v>0</v>
      </c>
      <c r="N8" s="153">
        <v>0.4</v>
      </c>
      <c r="P8" s="25">
        <f t="shared" ca="1" si="1"/>
        <v>0</v>
      </c>
      <c r="Q8" s="2">
        <f t="shared" ca="1" si="2"/>
        <v>0</v>
      </c>
      <c r="R8" s="25">
        <f t="shared" ca="1" si="3"/>
        <v>0</v>
      </c>
    </row>
    <row r="9" spans="2:19" x14ac:dyDescent="0.25">
      <c r="B9" s="23" t="s">
        <v>0</v>
      </c>
      <c r="C9" s="28">
        <v>13</v>
      </c>
      <c r="D9" s="33" t="s">
        <v>1</v>
      </c>
      <c r="E9" s="43">
        <v>5</v>
      </c>
      <c r="F9" s="7">
        <v>0.3</v>
      </c>
      <c r="G9" s="53">
        <v>0</v>
      </c>
      <c r="H9" s="5">
        <f t="shared" si="4"/>
        <v>0</v>
      </c>
      <c r="I9" s="5">
        <v>0</v>
      </c>
      <c r="J9" s="21">
        <f t="shared" ca="1" si="6"/>
        <v>0</v>
      </c>
      <c r="K9" s="21">
        <f t="shared" ref="K9:K27" ca="1" si="8">-MIN(MAX(F9-H9,0),L8*(1-$C$11),$C$13)</f>
        <v>-0.3</v>
      </c>
      <c r="L9" s="21">
        <f t="shared" ref="L9:L27" ca="1" si="9">L8+J9*(1-$C$10)+K9*(1+$C$11)+I9*(1-$C$10)</f>
        <v>12.381920598393597</v>
      </c>
      <c r="M9" s="2">
        <f t="shared" ca="1" si="7"/>
        <v>0</v>
      </c>
      <c r="N9" s="153">
        <v>0.4</v>
      </c>
      <c r="P9" s="25">
        <f t="shared" ca="1" si="1"/>
        <v>0</v>
      </c>
      <c r="Q9" s="2">
        <f t="shared" ca="1" si="2"/>
        <v>0</v>
      </c>
      <c r="R9" s="25">
        <f t="shared" ca="1" si="3"/>
        <v>0</v>
      </c>
    </row>
    <row r="10" spans="2:19" x14ac:dyDescent="0.25">
      <c r="B10" s="23" t="s">
        <v>7</v>
      </c>
      <c r="C10" s="30">
        <v>0.06</v>
      </c>
      <c r="D10" s="44" t="s">
        <v>28</v>
      </c>
      <c r="E10" s="43">
        <v>6</v>
      </c>
      <c r="F10" s="7">
        <v>0.3</v>
      </c>
      <c r="G10" s="53">
        <v>0</v>
      </c>
      <c r="H10" s="5">
        <f t="shared" si="4"/>
        <v>0</v>
      </c>
      <c r="I10" s="5">
        <v>0</v>
      </c>
      <c r="J10" s="21">
        <f t="shared" ca="1" si="6"/>
        <v>0</v>
      </c>
      <c r="K10" s="21">
        <f t="shared" ca="1" si="8"/>
        <v>-0.3</v>
      </c>
      <c r="L10" s="21">
        <f t="shared" ca="1" si="9"/>
        <v>12.072920598393598</v>
      </c>
      <c r="M10" s="2">
        <f t="shared" ca="1" si="7"/>
        <v>0</v>
      </c>
      <c r="N10" s="153">
        <v>0.4</v>
      </c>
      <c r="P10" s="25">
        <f t="shared" ca="1" si="1"/>
        <v>0</v>
      </c>
      <c r="Q10" s="2">
        <f t="shared" ca="1" si="2"/>
        <v>0</v>
      </c>
      <c r="R10" s="25">
        <f t="shared" ca="1" si="3"/>
        <v>0</v>
      </c>
    </row>
    <row r="11" spans="2:19" x14ac:dyDescent="0.25">
      <c r="B11" s="23" t="s">
        <v>26</v>
      </c>
      <c r="C11" s="30">
        <v>0.03</v>
      </c>
      <c r="D11" s="44" t="s">
        <v>28</v>
      </c>
      <c r="E11" s="43">
        <v>7</v>
      </c>
      <c r="F11" s="7">
        <v>1</v>
      </c>
      <c r="G11" s="53">
        <v>0.17142857142857143</v>
      </c>
      <c r="H11" s="5">
        <f t="shared" si="4"/>
        <v>0.48</v>
      </c>
      <c r="I11" s="5">
        <v>0</v>
      </c>
      <c r="J11" s="21">
        <f t="shared" ca="1" si="6"/>
        <v>0</v>
      </c>
      <c r="K11" s="21">
        <f t="shared" ca="1" si="8"/>
        <v>-0.52</v>
      </c>
      <c r="L11" s="21">
        <f t="shared" ca="1" si="9"/>
        <v>11.537320598393597</v>
      </c>
      <c r="M11" s="2">
        <f t="shared" ca="1" si="7"/>
        <v>0</v>
      </c>
      <c r="N11" s="153">
        <v>0.4</v>
      </c>
      <c r="P11" s="25">
        <f t="shared" ca="1" si="1"/>
        <v>0</v>
      </c>
      <c r="Q11" s="2">
        <f t="shared" ca="1" si="2"/>
        <v>0</v>
      </c>
      <c r="R11" s="25">
        <f t="shared" ca="1" si="3"/>
        <v>0</v>
      </c>
    </row>
    <row r="12" spans="2:19" x14ac:dyDescent="0.25">
      <c r="B12" s="23" t="s">
        <v>3</v>
      </c>
      <c r="C12" s="31">
        <v>5</v>
      </c>
      <c r="D12" s="34" t="s">
        <v>20</v>
      </c>
      <c r="E12" s="43">
        <v>8</v>
      </c>
      <c r="F12" s="7">
        <v>1</v>
      </c>
      <c r="G12" s="53">
        <v>0.39999999999999997</v>
      </c>
      <c r="H12" s="5">
        <f t="shared" si="4"/>
        <v>1.1199999999999999</v>
      </c>
      <c r="I12" s="5">
        <v>0</v>
      </c>
      <c r="J12" s="21">
        <f t="shared" ca="1" si="6"/>
        <v>0.11999999999999988</v>
      </c>
      <c r="K12" s="21">
        <f t="shared" ca="1" si="8"/>
        <v>0</v>
      </c>
      <c r="L12" s="21">
        <f t="shared" ca="1" si="9"/>
        <v>11.650120598393597</v>
      </c>
      <c r="M12" s="2">
        <f t="shared" ca="1" si="7"/>
        <v>0</v>
      </c>
      <c r="N12" s="153">
        <v>0.4</v>
      </c>
      <c r="P12" s="25">
        <f t="shared" ca="1" si="1"/>
        <v>0</v>
      </c>
      <c r="Q12" s="2">
        <f t="shared" ca="1" si="2"/>
        <v>0</v>
      </c>
      <c r="R12" s="25">
        <f t="shared" ca="1" si="3"/>
        <v>0</v>
      </c>
    </row>
    <row r="13" spans="2:19" x14ac:dyDescent="0.25">
      <c r="B13" s="24" t="s">
        <v>4</v>
      </c>
      <c r="C13" s="32">
        <v>5</v>
      </c>
      <c r="D13" s="35" t="s">
        <v>20</v>
      </c>
      <c r="E13" s="43">
        <v>9</v>
      </c>
      <c r="F13" s="7">
        <v>1</v>
      </c>
      <c r="G13" s="53">
        <v>0.62857142857142867</v>
      </c>
      <c r="H13" s="5">
        <f t="shared" si="4"/>
        <v>1.7600000000000002</v>
      </c>
      <c r="I13" s="5">
        <v>0</v>
      </c>
      <c r="J13" s="21">
        <f t="shared" ca="1" si="6"/>
        <v>0.76000000000000023</v>
      </c>
      <c r="K13" s="21">
        <f t="shared" ca="1" si="8"/>
        <v>0</v>
      </c>
      <c r="L13" s="21">
        <f t="shared" ca="1" si="9"/>
        <v>12.364520598393597</v>
      </c>
      <c r="M13" s="2">
        <f t="shared" ca="1" si="7"/>
        <v>0</v>
      </c>
      <c r="N13" s="153">
        <v>0.4</v>
      </c>
      <c r="P13" s="25">
        <f t="shared" ca="1" si="1"/>
        <v>0</v>
      </c>
      <c r="Q13" s="2">
        <f t="shared" ca="1" si="2"/>
        <v>0</v>
      </c>
      <c r="R13" s="25">
        <f t="shared" ca="1" si="3"/>
        <v>0</v>
      </c>
    </row>
    <row r="14" spans="2:19" x14ac:dyDescent="0.25">
      <c r="E14" s="43">
        <v>10</v>
      </c>
      <c r="F14" s="7">
        <v>1.5</v>
      </c>
      <c r="G14" s="53">
        <v>0.82857142857142851</v>
      </c>
      <c r="H14" s="5">
        <f t="shared" si="4"/>
        <v>2.3199999999999998</v>
      </c>
      <c r="I14" s="5">
        <v>0</v>
      </c>
      <c r="J14" s="21">
        <f t="shared" ca="1" si="6"/>
        <v>0.63547940160640337</v>
      </c>
      <c r="K14" s="21">
        <f t="shared" ca="1" si="8"/>
        <v>0</v>
      </c>
      <c r="L14" s="21">
        <f t="shared" ca="1" si="9"/>
        <v>12.961871235903615</v>
      </c>
      <c r="M14" s="2">
        <f t="shared" ca="1" si="7"/>
        <v>0</v>
      </c>
      <c r="N14" s="153">
        <v>0.4</v>
      </c>
      <c r="P14" s="25">
        <f t="shared" ca="1" si="1"/>
        <v>0</v>
      </c>
      <c r="Q14" s="2">
        <f t="shared" ca="1" si="2"/>
        <v>0.18452059839359647</v>
      </c>
      <c r="R14" s="25">
        <f t="shared" ca="1" si="3"/>
        <v>9.2260299196798238E-3</v>
      </c>
    </row>
    <row r="15" spans="2:19" x14ac:dyDescent="0.25">
      <c r="B15" s="27" t="s">
        <v>19</v>
      </c>
      <c r="C15" s="14"/>
      <c r="E15" s="43">
        <v>11</v>
      </c>
      <c r="F15" s="7">
        <v>1.5</v>
      </c>
      <c r="G15" s="53">
        <v>0.91428571428571437</v>
      </c>
      <c r="H15" s="5">
        <f t="shared" si="4"/>
        <v>2.56</v>
      </c>
      <c r="I15" s="5">
        <v>0</v>
      </c>
      <c r="J15" s="21">
        <f t="shared" ca="1" si="6"/>
        <v>3.8128764096384771E-2</v>
      </c>
      <c r="K15" s="21">
        <f t="shared" ca="1" si="8"/>
        <v>0</v>
      </c>
      <c r="L15" s="21">
        <f t="shared" ca="1" si="9"/>
        <v>12.997712274154217</v>
      </c>
      <c r="M15" s="2">
        <f t="shared" ca="1" si="7"/>
        <v>0</v>
      </c>
      <c r="N15" s="153">
        <v>0.4</v>
      </c>
      <c r="P15" s="25">
        <f t="shared" ca="1" si="1"/>
        <v>0</v>
      </c>
      <c r="Q15" s="2">
        <f t="shared" ca="1" si="2"/>
        <v>1.0218712359036153</v>
      </c>
      <c r="R15" s="25">
        <f t="shared" ca="1" si="3"/>
        <v>5.1093561795180764E-2</v>
      </c>
    </row>
    <row r="16" spans="2:19" x14ac:dyDescent="0.25">
      <c r="B16" s="15"/>
      <c r="E16" s="43">
        <v>12</v>
      </c>
      <c r="F16" s="7">
        <v>2</v>
      </c>
      <c r="G16" s="53">
        <v>1</v>
      </c>
      <c r="H16" s="5">
        <f t="shared" si="4"/>
        <v>2.8</v>
      </c>
      <c r="I16" s="5">
        <v>0</v>
      </c>
      <c r="J16" s="21">
        <f t="shared" ca="1" si="6"/>
        <v>2.2877258457825178E-3</v>
      </c>
      <c r="K16" s="21">
        <f t="shared" ca="1" si="8"/>
        <v>0</v>
      </c>
      <c r="L16" s="21">
        <f t="shared" ca="1" si="9"/>
        <v>12.999862736449254</v>
      </c>
      <c r="M16" s="2">
        <f t="shared" ca="1" si="7"/>
        <v>0</v>
      </c>
      <c r="N16" s="153">
        <v>0.4</v>
      </c>
      <c r="P16" s="25">
        <f t="shared" ca="1" si="1"/>
        <v>0</v>
      </c>
      <c r="Q16" s="2">
        <f t="shared" ca="1" si="2"/>
        <v>0.7977122741542173</v>
      </c>
      <c r="R16" s="25">
        <f t="shared" ca="1" si="3"/>
        <v>3.9885613707710869E-2</v>
      </c>
    </row>
    <row r="17" spans="2:22" x14ac:dyDescent="0.25">
      <c r="B17" s="16" t="s">
        <v>9</v>
      </c>
      <c r="E17" s="43">
        <v>13</v>
      </c>
      <c r="F17" s="7">
        <v>2</v>
      </c>
      <c r="G17" s="53">
        <v>0.91428571428571437</v>
      </c>
      <c r="H17" s="5">
        <f t="shared" si="4"/>
        <v>2.56</v>
      </c>
      <c r="I17" s="5">
        <v>0</v>
      </c>
      <c r="J17" s="21">
        <f t="shared" ca="1" si="6"/>
        <v>1.3726355074616947E-4</v>
      </c>
      <c r="K17" s="21">
        <f t="shared" ca="1" si="8"/>
        <v>0</v>
      </c>
      <c r="L17" s="21">
        <f t="shared" ca="1" si="9"/>
        <v>12.999991764186955</v>
      </c>
      <c r="M17" s="2">
        <f t="shared" ca="1" si="7"/>
        <v>0</v>
      </c>
      <c r="N17" s="153">
        <v>0.4</v>
      </c>
      <c r="P17" s="25">
        <f t="shared" ca="1" si="1"/>
        <v>0</v>
      </c>
      <c r="Q17" s="2">
        <f t="shared" ca="1" si="2"/>
        <v>0.55986273644925388</v>
      </c>
      <c r="R17" s="25">
        <f t="shared" ca="1" si="3"/>
        <v>2.7993136822462697E-2</v>
      </c>
    </row>
    <row r="18" spans="2:22" x14ac:dyDescent="0.25">
      <c r="B18" s="15" t="s">
        <v>11</v>
      </c>
      <c r="C18" s="18"/>
      <c r="D18" s="18"/>
      <c r="E18" s="43">
        <v>14</v>
      </c>
      <c r="F18" s="7">
        <v>2</v>
      </c>
      <c r="G18" s="53">
        <v>0.8571428571428571</v>
      </c>
      <c r="H18" s="5">
        <f t="shared" si="4"/>
        <v>2.4</v>
      </c>
      <c r="I18" s="5">
        <v>0</v>
      </c>
      <c r="J18" s="21">
        <f t="shared" ca="1" si="6"/>
        <v>8.2358130448767497E-6</v>
      </c>
      <c r="K18" s="21">
        <f t="shared" ca="1" si="8"/>
        <v>0</v>
      </c>
      <c r="L18" s="21">
        <f t="shared" ca="1" si="9"/>
        <v>12.999999505851218</v>
      </c>
      <c r="M18" s="2">
        <f t="shared" ca="1" si="7"/>
        <v>0</v>
      </c>
      <c r="N18" s="153">
        <v>0.4</v>
      </c>
      <c r="P18" s="25">
        <f t="shared" ca="1" si="1"/>
        <v>0</v>
      </c>
      <c r="Q18" s="2">
        <f t="shared" ca="1" si="2"/>
        <v>0.39999176418695503</v>
      </c>
      <c r="R18" s="25">
        <f t="shared" ca="1" si="3"/>
        <v>1.9999588209347753E-2</v>
      </c>
    </row>
    <row r="19" spans="2:22" x14ac:dyDescent="0.25">
      <c r="B19" s="16" t="s">
        <v>34</v>
      </c>
      <c r="E19" s="43">
        <v>15</v>
      </c>
      <c r="F19" s="7">
        <v>1.5</v>
      </c>
      <c r="G19" s="53">
        <v>0.7142857142857143</v>
      </c>
      <c r="H19" s="5">
        <f t="shared" si="4"/>
        <v>2</v>
      </c>
      <c r="I19" s="5">
        <v>0</v>
      </c>
      <c r="J19" s="21">
        <f t="shared" ca="1" si="6"/>
        <v>4.9414878233733361E-7</v>
      </c>
      <c r="K19" s="21">
        <f t="shared" ca="1" si="8"/>
        <v>0</v>
      </c>
      <c r="L19" s="21">
        <f t="shared" ca="1" si="9"/>
        <v>12.999999970351073</v>
      </c>
      <c r="M19" s="2">
        <f t="shared" ca="1" si="7"/>
        <v>0</v>
      </c>
      <c r="N19" s="153">
        <v>0.4</v>
      </c>
      <c r="P19" s="25">
        <f t="shared" ca="1" si="1"/>
        <v>0</v>
      </c>
      <c r="Q19" s="2">
        <f t="shared" ca="1" si="2"/>
        <v>0.49999950585121766</v>
      </c>
      <c r="R19" s="25">
        <f t="shared" ca="1" si="3"/>
        <v>2.4999975292560886E-2</v>
      </c>
    </row>
    <row r="20" spans="2:22" x14ac:dyDescent="0.25">
      <c r="B20" s="16" t="s">
        <v>10</v>
      </c>
      <c r="E20" s="43">
        <v>16</v>
      </c>
      <c r="F20" s="7">
        <v>1</v>
      </c>
      <c r="G20" s="53">
        <v>0.34285714285714286</v>
      </c>
      <c r="H20" s="5">
        <f t="shared" si="4"/>
        <v>0.96</v>
      </c>
      <c r="I20" s="5">
        <v>0</v>
      </c>
      <c r="J20" s="21">
        <f t="shared" ca="1" si="6"/>
        <v>0</v>
      </c>
      <c r="K20" s="21">
        <f t="shared" ca="1" si="8"/>
        <v>-4.0000000000000036E-2</v>
      </c>
      <c r="L20" s="21">
        <f t="shared" ca="1" si="9"/>
        <v>12.958799970351073</v>
      </c>
      <c r="M20" s="2">
        <f t="shared" ca="1" si="7"/>
        <v>0</v>
      </c>
      <c r="N20" s="153">
        <v>0.4</v>
      </c>
      <c r="P20" s="25">
        <f t="shared" ca="1" si="1"/>
        <v>0</v>
      </c>
      <c r="Q20" s="2">
        <f t="shared" ca="1" si="2"/>
        <v>0</v>
      </c>
      <c r="R20" s="25">
        <f t="shared" ca="1" si="3"/>
        <v>0</v>
      </c>
    </row>
    <row r="21" spans="2:22" x14ac:dyDescent="0.25">
      <c r="E21" s="43">
        <v>17</v>
      </c>
      <c r="F21" s="7">
        <v>1</v>
      </c>
      <c r="G21" s="53">
        <v>0.1142857142857143</v>
      </c>
      <c r="H21" s="5">
        <f t="shared" si="4"/>
        <v>0.32</v>
      </c>
      <c r="I21" s="5">
        <v>0</v>
      </c>
      <c r="J21" s="21">
        <f t="shared" ca="1" si="6"/>
        <v>0</v>
      </c>
      <c r="K21" s="21">
        <f t="shared" ca="1" si="8"/>
        <v>-0.67999999999999994</v>
      </c>
      <c r="L21" s="21">
        <f t="shared" ca="1" si="9"/>
        <v>12.258399970351073</v>
      </c>
      <c r="M21" s="2">
        <f t="shared" ca="1" si="7"/>
        <v>0</v>
      </c>
      <c r="N21" s="153">
        <v>0.4</v>
      </c>
      <c r="P21" s="25">
        <f t="shared" ca="1" si="1"/>
        <v>0</v>
      </c>
      <c r="Q21" s="2">
        <f t="shared" ca="1" si="2"/>
        <v>0</v>
      </c>
      <c r="R21" s="25">
        <f t="shared" ca="1" si="3"/>
        <v>0</v>
      </c>
      <c r="S21" s="47" t="s">
        <v>24</v>
      </c>
    </row>
    <row r="22" spans="2:22" x14ac:dyDescent="0.25">
      <c r="B22" s="16" t="s">
        <v>31</v>
      </c>
      <c r="E22" s="43">
        <v>18</v>
      </c>
      <c r="F22" s="7">
        <v>2</v>
      </c>
      <c r="G22" s="53">
        <v>0</v>
      </c>
      <c r="H22" s="5">
        <f t="shared" si="4"/>
        <v>0</v>
      </c>
      <c r="I22" s="5">
        <v>0</v>
      </c>
      <c r="J22" s="21">
        <f t="shared" ca="1" si="6"/>
        <v>0</v>
      </c>
      <c r="K22" s="21">
        <f t="shared" ca="1" si="8"/>
        <v>-2</v>
      </c>
      <c r="L22" s="21">
        <f t="shared" ca="1" si="9"/>
        <v>10.198399970351073</v>
      </c>
      <c r="M22" s="2">
        <f t="shared" ca="1" si="7"/>
        <v>0</v>
      </c>
      <c r="N22" s="153">
        <v>0.4</v>
      </c>
      <c r="P22" s="25">
        <f t="shared" ca="1" si="1"/>
        <v>0</v>
      </c>
      <c r="Q22" s="2">
        <f t="shared" ca="1" si="2"/>
        <v>0</v>
      </c>
      <c r="R22" s="25">
        <f t="shared" ca="1" si="3"/>
        <v>0</v>
      </c>
      <c r="S22" s="47" t="s">
        <v>32</v>
      </c>
    </row>
    <row r="23" spans="2:22" x14ac:dyDescent="0.25">
      <c r="B23" s="16" t="s">
        <v>30</v>
      </c>
      <c r="E23" s="43">
        <v>19</v>
      </c>
      <c r="F23" s="7">
        <v>1</v>
      </c>
      <c r="G23" s="53">
        <v>0</v>
      </c>
      <c r="H23" s="5">
        <f t="shared" si="4"/>
        <v>0</v>
      </c>
      <c r="I23" s="5">
        <v>0</v>
      </c>
      <c r="J23" s="21">
        <f t="shared" ca="1" si="6"/>
        <v>0</v>
      </c>
      <c r="K23" s="21">
        <f t="shared" ca="1" si="8"/>
        <v>-1</v>
      </c>
      <c r="L23" s="21">
        <f t="shared" ca="1" si="9"/>
        <v>9.1683999703510732</v>
      </c>
      <c r="M23" s="2">
        <f t="shared" ca="1" si="7"/>
        <v>0</v>
      </c>
      <c r="N23" s="153">
        <v>0.4</v>
      </c>
      <c r="P23" s="25">
        <f t="shared" ca="1" si="1"/>
        <v>0</v>
      </c>
      <c r="Q23" s="2">
        <f t="shared" ca="1" si="2"/>
        <v>0</v>
      </c>
      <c r="R23" s="25">
        <f t="shared" ca="1" si="3"/>
        <v>0</v>
      </c>
      <c r="S23" s="47" t="s">
        <v>36</v>
      </c>
    </row>
    <row r="24" spans="2:22" x14ac:dyDescent="0.25">
      <c r="B24" s="16" t="s">
        <v>29</v>
      </c>
      <c r="E24" s="43">
        <v>20</v>
      </c>
      <c r="F24" s="7">
        <v>0.3</v>
      </c>
      <c r="G24" s="53">
        <v>0</v>
      </c>
      <c r="H24" s="5">
        <f t="shared" si="4"/>
        <v>0</v>
      </c>
      <c r="I24" s="5">
        <v>0</v>
      </c>
      <c r="J24" s="21">
        <f t="shared" ca="1" si="6"/>
        <v>0</v>
      </c>
      <c r="K24" s="21">
        <f t="shared" ca="1" si="8"/>
        <v>-0.3</v>
      </c>
      <c r="L24" s="21">
        <f t="shared" ca="1" si="9"/>
        <v>8.859399970351074</v>
      </c>
      <c r="M24" s="2">
        <f t="shared" ca="1" si="7"/>
        <v>0</v>
      </c>
      <c r="N24" s="153">
        <v>0.4</v>
      </c>
      <c r="P24" s="25">
        <f t="shared" ca="1" si="1"/>
        <v>0</v>
      </c>
      <c r="Q24" s="2">
        <f t="shared" ca="1" si="2"/>
        <v>0</v>
      </c>
      <c r="R24" s="25">
        <f t="shared" ca="1" si="3"/>
        <v>0</v>
      </c>
      <c r="S24" s="52">
        <v>0.43</v>
      </c>
    </row>
    <row r="25" spans="2:22" x14ac:dyDescent="0.25">
      <c r="B25" s="61" t="s">
        <v>40</v>
      </c>
      <c r="C25" s="54"/>
      <c r="E25" s="43">
        <v>21</v>
      </c>
      <c r="F25" s="7">
        <v>0.3</v>
      </c>
      <c r="G25" s="53">
        <v>0</v>
      </c>
      <c r="H25" s="5">
        <f t="shared" si="4"/>
        <v>0</v>
      </c>
      <c r="I25" s="5">
        <v>0</v>
      </c>
      <c r="J25" s="21">
        <f t="shared" ca="1" si="6"/>
        <v>0</v>
      </c>
      <c r="K25" s="21">
        <f t="shared" ca="1" si="8"/>
        <v>-0.3</v>
      </c>
      <c r="L25" s="21">
        <f t="shared" ca="1" si="9"/>
        <v>8.5503999703510747</v>
      </c>
      <c r="M25" s="2">
        <f t="shared" ca="1" si="7"/>
        <v>0</v>
      </c>
      <c r="N25" s="153">
        <v>0.4</v>
      </c>
      <c r="P25" s="25">
        <f t="shared" ca="1" si="1"/>
        <v>0</v>
      </c>
      <c r="Q25" s="2">
        <f t="shared" ca="1" si="2"/>
        <v>0</v>
      </c>
      <c r="R25" s="25">
        <f t="shared" ca="1" si="3"/>
        <v>0</v>
      </c>
    </row>
    <row r="26" spans="2:22" x14ac:dyDescent="0.25">
      <c r="B26" s="58" t="s">
        <v>38</v>
      </c>
      <c r="C26" s="59">
        <v>0.7</v>
      </c>
      <c r="E26" s="43">
        <v>22</v>
      </c>
      <c r="F26" s="7">
        <v>0.3</v>
      </c>
      <c r="G26" s="53">
        <v>0</v>
      </c>
      <c r="H26" s="5">
        <f t="shared" si="4"/>
        <v>0</v>
      </c>
      <c r="I26" s="5">
        <v>0</v>
      </c>
      <c r="J26" s="21">
        <f t="shared" ca="1" si="6"/>
        <v>0</v>
      </c>
      <c r="K26" s="21">
        <f t="shared" ca="1" si="8"/>
        <v>-0.3</v>
      </c>
      <c r="L26" s="21">
        <f t="shared" ca="1" si="9"/>
        <v>8.2413999703510754</v>
      </c>
      <c r="M26" s="2">
        <f t="shared" ca="1" si="7"/>
        <v>0</v>
      </c>
      <c r="N26" s="153">
        <v>0.4</v>
      </c>
      <c r="P26" s="25">
        <f t="shared" ca="1" si="1"/>
        <v>0</v>
      </c>
      <c r="Q26" s="2">
        <f t="shared" ca="1" si="2"/>
        <v>0</v>
      </c>
      <c r="R26" s="25">
        <f t="shared" ca="1" si="3"/>
        <v>0</v>
      </c>
      <c r="S26" s="141" t="s">
        <v>24</v>
      </c>
      <c r="T26" s="141" t="s">
        <v>37</v>
      </c>
      <c r="U26" s="141" t="s">
        <v>44</v>
      </c>
      <c r="V26" s="136" t="s">
        <v>44</v>
      </c>
    </row>
    <row r="27" spans="2:22" x14ac:dyDescent="0.25">
      <c r="B27" s="55" t="s">
        <v>39</v>
      </c>
      <c r="C27" s="56">
        <v>0</v>
      </c>
      <c r="E27" s="43">
        <v>23</v>
      </c>
      <c r="F27" s="7">
        <v>0.3</v>
      </c>
      <c r="G27" s="53">
        <v>0</v>
      </c>
      <c r="H27" s="5">
        <f t="shared" si="4"/>
        <v>0</v>
      </c>
      <c r="I27" s="5">
        <v>0</v>
      </c>
      <c r="J27" s="21">
        <f t="shared" ca="1" si="6"/>
        <v>0</v>
      </c>
      <c r="K27" s="21">
        <f t="shared" ca="1" si="8"/>
        <v>-0.3</v>
      </c>
      <c r="L27" s="21">
        <f t="shared" ca="1" si="9"/>
        <v>7.9323999703510752</v>
      </c>
      <c r="M27" s="2">
        <f t="shared" ca="1" si="7"/>
        <v>0</v>
      </c>
      <c r="N27" s="153">
        <v>0.4</v>
      </c>
      <c r="P27" s="25">
        <f t="shared" ca="1" si="1"/>
        <v>0</v>
      </c>
      <c r="Q27" s="2">
        <f t="shared" ca="1" si="2"/>
        <v>0</v>
      </c>
      <c r="R27" s="25">
        <f t="shared" ca="1" si="3"/>
        <v>0</v>
      </c>
      <c r="S27" s="141" t="s">
        <v>25</v>
      </c>
      <c r="T27" s="141" t="s">
        <v>25</v>
      </c>
      <c r="U27" s="141" t="s">
        <v>25</v>
      </c>
      <c r="V27" s="136" t="s">
        <v>46</v>
      </c>
    </row>
    <row r="28" spans="2:22" s="1" customFormat="1" x14ac:dyDescent="0.25">
      <c r="E28" s="8" t="s">
        <v>2</v>
      </c>
      <c r="F28" s="9">
        <f>SUM(F4:F27)</f>
        <v>26.6</v>
      </c>
      <c r="G28" s="13"/>
      <c r="H28" s="10">
        <f>SUM(H4:H27)</f>
        <v>19.28</v>
      </c>
      <c r="I28" s="10">
        <f ca="1">SUM(I4:I27)</f>
        <v>5.3909793915345983</v>
      </c>
      <c r="J28" s="11">
        <f ca="1">SUM(J4:J27)</f>
        <v>1.5560418850611442</v>
      </c>
      <c r="K28" s="11">
        <f ca="1">SUM(K4:K27)</f>
        <v>-6.339999999999999</v>
      </c>
      <c r="L28" s="9"/>
      <c r="M28" s="11">
        <f ca="1">SUM(M4:M27)</f>
        <v>11.390979391534598</v>
      </c>
      <c r="N28" s="22"/>
      <c r="O28" s="11"/>
      <c r="P28" s="22">
        <f ca="1">SUM(P4:P27)</f>
        <v>0.85432345436509483</v>
      </c>
      <c r="Q28" s="11">
        <f ca="1">SUM(Q4:Q27)</f>
        <v>3.4639581149388556</v>
      </c>
      <c r="R28" s="22">
        <f ca="1">SUM(R4:R27)</f>
        <v>0.17319790574694277</v>
      </c>
      <c r="S28" s="151">
        <f ca="1">P28+S24</f>
        <v>1.2843234543650948</v>
      </c>
      <c r="T28" s="142">
        <f ca="1">S28*7</f>
        <v>8.9902641805556627</v>
      </c>
      <c r="U28" s="142">
        <f ca="1">S28*123</f>
        <v>157.97178488690665</v>
      </c>
      <c r="V28" s="137">
        <f ca="1">123*R28</f>
        <v>21.303342406873959</v>
      </c>
    </row>
    <row r="29" spans="2:22" x14ac:dyDescent="0.25">
      <c r="B29" s="116" t="s">
        <v>57</v>
      </c>
      <c r="U29" s="6"/>
    </row>
    <row r="30" spans="2:22" x14ac:dyDescent="0.25">
      <c r="B30" s="116" t="s">
        <v>58</v>
      </c>
      <c r="S30" s="62" t="s">
        <v>45</v>
      </c>
      <c r="U30" s="142">
        <f ca="1">U28+'Spring &amp; Autumn'!U28 +Winter!U28</f>
        <v>751.82364297452409</v>
      </c>
    </row>
    <row r="31" spans="2:22" x14ac:dyDescent="0.25">
      <c r="B31" s="48" t="s">
        <v>53</v>
      </c>
      <c r="C31" s="1"/>
      <c r="D31" s="1"/>
      <c r="E31" s="49"/>
      <c r="F31" s="1"/>
      <c r="G31" s="50"/>
      <c r="H31" s="51"/>
      <c r="I31" s="51"/>
      <c r="S31" s="48" t="s">
        <v>50</v>
      </c>
      <c r="U31" s="143">
        <f ca="1">V28+ 'Spring &amp; Autumn'!V28+ Winter!V28</f>
        <v>37.78485387036455</v>
      </c>
    </row>
    <row r="32" spans="2:22" x14ac:dyDescent="0.25">
      <c r="B32" s="48" t="s">
        <v>54</v>
      </c>
      <c r="C32" s="1"/>
      <c r="D32" s="1"/>
      <c r="E32" s="49"/>
      <c r="F32" s="1"/>
      <c r="G32" s="50"/>
      <c r="H32" s="51"/>
      <c r="I32" s="51"/>
      <c r="S32" s="62" t="s">
        <v>51</v>
      </c>
      <c r="U32" s="142">
        <f ca="1">U30-U31</f>
        <v>714.03878910415949</v>
      </c>
    </row>
    <row r="33" spans="2:9" x14ac:dyDescent="0.25">
      <c r="B33" s="116" t="s">
        <v>55</v>
      </c>
      <c r="C33" s="1"/>
      <c r="D33" s="1"/>
      <c r="E33" s="49"/>
      <c r="F33" s="1"/>
      <c r="G33" s="50"/>
      <c r="H33" s="51"/>
      <c r="I33" s="51"/>
    </row>
    <row r="34" spans="2:9" x14ac:dyDescent="0.25">
      <c r="B34" s="6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tabSelected="1" workbookViewId="0">
      <selection activeCell="K33" sqref="K33"/>
    </sheetView>
  </sheetViews>
  <sheetFormatPr defaultRowHeight="15.75" x14ac:dyDescent="0.25"/>
  <cols>
    <col min="1" max="1" width="2.375" style="63" customWidth="1"/>
    <col min="2" max="2" width="17" style="63" customWidth="1"/>
    <col min="3" max="3" width="5.25" style="63" customWidth="1"/>
    <col min="4" max="4" width="4.375" style="63" customWidth="1"/>
    <col min="5" max="5" width="5.75" style="63" customWidth="1"/>
    <col min="6" max="6" width="13.25" style="63" customWidth="1"/>
    <col min="7" max="7" width="7.75" style="63" customWidth="1"/>
    <col min="8" max="8" width="11.5" style="63" customWidth="1"/>
    <col min="9" max="9" width="8.625" style="63" customWidth="1"/>
    <col min="10" max="10" width="7.75" style="63" customWidth="1"/>
    <col min="11" max="11" width="9" style="63"/>
    <col min="12" max="12" width="8.125" style="63" customWidth="1"/>
    <col min="13" max="13" width="7.75" style="63" customWidth="1"/>
    <col min="14" max="14" width="9.875" style="63" customWidth="1"/>
    <col min="15" max="15" width="3.75" style="63" customWidth="1"/>
    <col min="16" max="16" width="6.25" style="63" customWidth="1"/>
    <col min="17" max="17" width="8.125" style="63" customWidth="1"/>
    <col min="18" max="20" width="9" style="63"/>
    <col min="21" max="21" width="11" style="63" customWidth="1"/>
    <col min="22" max="16384" width="9" style="63"/>
  </cols>
  <sheetData>
    <row r="1" spans="1:21" x14ac:dyDescent="0.25">
      <c r="B1" s="64" t="s">
        <v>56</v>
      </c>
      <c r="E1" s="65"/>
      <c r="G1" s="66"/>
      <c r="H1" s="67"/>
      <c r="I1" s="67"/>
      <c r="J1" s="68"/>
      <c r="K1" s="68"/>
      <c r="M1" s="68"/>
      <c r="N1" s="68"/>
      <c r="O1" s="68"/>
      <c r="Q1" s="68"/>
    </row>
    <row r="2" spans="1:21" ht="52.5" customHeight="1" x14ac:dyDescent="0.25">
      <c r="A2" s="69"/>
      <c r="B2" s="70" t="s">
        <v>43</v>
      </c>
      <c r="C2" s="69"/>
      <c r="D2" s="69"/>
      <c r="E2" s="69" t="s">
        <v>27</v>
      </c>
      <c r="F2" s="69" t="s">
        <v>12</v>
      </c>
      <c r="G2" s="69" t="s">
        <v>18</v>
      </c>
      <c r="H2" s="71" t="s">
        <v>13</v>
      </c>
      <c r="I2" s="72" t="s">
        <v>35</v>
      </c>
      <c r="J2" s="73" t="s">
        <v>14</v>
      </c>
      <c r="K2" s="73" t="s">
        <v>15</v>
      </c>
      <c r="L2" s="74" t="s">
        <v>8</v>
      </c>
      <c r="M2" s="71" t="s">
        <v>16</v>
      </c>
      <c r="N2" s="71" t="s">
        <v>33</v>
      </c>
      <c r="O2" s="71"/>
      <c r="P2" s="71" t="s">
        <v>21</v>
      </c>
      <c r="Q2" s="71" t="s">
        <v>17</v>
      </c>
      <c r="R2" s="71" t="s">
        <v>23</v>
      </c>
      <c r="S2" s="71"/>
      <c r="T2" s="69"/>
      <c r="U2" s="69"/>
    </row>
    <row r="3" spans="1:21" ht="9.75" customHeight="1" x14ac:dyDescent="0.25">
      <c r="A3" s="69"/>
      <c r="B3" s="75"/>
      <c r="C3" s="69"/>
      <c r="D3" s="69"/>
      <c r="E3" s="69"/>
      <c r="F3" s="69"/>
      <c r="G3" s="69"/>
      <c r="H3" s="71"/>
      <c r="I3" s="76"/>
      <c r="J3" s="73"/>
      <c r="K3" s="73"/>
      <c r="L3" s="74"/>
      <c r="M3" s="71"/>
      <c r="N3" s="71"/>
      <c r="O3" s="71"/>
      <c r="P3" s="71"/>
      <c r="Q3" s="71"/>
      <c r="R3" s="71"/>
      <c r="S3" s="71"/>
      <c r="T3" s="69"/>
      <c r="U3" s="69"/>
    </row>
    <row r="4" spans="1:21" x14ac:dyDescent="0.25">
      <c r="B4" s="77"/>
      <c r="E4" s="78">
        <v>0</v>
      </c>
      <c r="F4" s="79">
        <v>2</v>
      </c>
      <c r="G4" s="66">
        <v>0</v>
      </c>
      <c r="H4" s="67">
        <f>MIN($C$6*$C$26*MAX(G4-$C$27,0),$C$7)</f>
        <v>0</v>
      </c>
      <c r="I4" s="80">
        <f ca="1">MIN($C$12, $C$9-L27)</f>
        <v>5</v>
      </c>
      <c r="J4" s="81">
        <f t="shared" ref="J4:J27" si="0">MIN(MAX(H4-F4, 0),$C$9-L3,$C$12)</f>
        <v>0</v>
      </c>
      <c r="K4" s="81">
        <f ca="1">IF(I4&gt;0,0,-MIN(MAX(F4-H4,0),L3*(1-$C$11),$C$13))</f>
        <v>0</v>
      </c>
      <c r="L4" s="81">
        <f ca="1">L27+J4*(1-$C$10)+K4*(1+$C$11)+I4*(1-$C$10)</f>
        <v>10.330020815414908</v>
      </c>
      <c r="M4" s="68">
        <f ca="1">MAX(F4-H4+K4,0)+I4</f>
        <v>7</v>
      </c>
      <c r="N4" s="154">
        <f>Summer!N4</f>
        <v>7.4999999999999997E-2</v>
      </c>
      <c r="O4" s="68"/>
      <c r="P4" s="82">
        <f t="shared" ref="P4:P27" ca="1" si="1">M4*N4</f>
        <v>0.52500000000000002</v>
      </c>
      <c r="Q4" s="68">
        <f t="shared" ref="Q4:Q27" si="2">MAX(H4-F4, 0)-J4</f>
        <v>0</v>
      </c>
      <c r="R4" s="82">
        <f t="shared" ref="R4:R27" si="3">Q4*$C$8</f>
        <v>0</v>
      </c>
    </row>
    <row r="5" spans="1:21" x14ac:dyDescent="0.25">
      <c r="E5" s="78">
        <v>1</v>
      </c>
      <c r="F5" s="79">
        <v>2</v>
      </c>
      <c r="G5" s="66">
        <v>0</v>
      </c>
      <c r="H5" s="67">
        <f t="shared" ref="H5:H27" si="4">MIN($C$6*$C$26*MAX(G5-$C$27,0),$C$7)</f>
        <v>0</v>
      </c>
      <c r="I5" s="80">
        <f ca="1">MIN($C$12, $C$9-L4)</f>
        <v>2.6699791845850918</v>
      </c>
      <c r="J5" s="81">
        <f t="shared" ca="1" si="0"/>
        <v>0</v>
      </c>
      <c r="K5" s="81">
        <f ca="1">IF(I5&gt;0,0,-MIN(MAX(F5-H5,0),L4*(1-$C$11),$C$13))</f>
        <v>0</v>
      </c>
      <c r="L5" s="81">
        <f ca="1">L4+J5*(1-$C$10)+K5*(1+$C$11)+I5*(1-$C$10)</f>
        <v>12.839801248924894</v>
      </c>
      <c r="M5" s="68">
        <f t="shared" ref="M5:M7" ca="1" si="5">MAX(F5-H5+K5,0)+I5</f>
        <v>4.6699791845850918</v>
      </c>
      <c r="N5" s="154">
        <f>Summer!N5</f>
        <v>7.4999999999999997E-2</v>
      </c>
      <c r="O5" s="68"/>
      <c r="P5" s="82">
        <f t="shared" ca="1" si="1"/>
        <v>0.35024843884388185</v>
      </c>
      <c r="Q5" s="68">
        <f t="shared" ca="1" si="2"/>
        <v>0</v>
      </c>
      <c r="R5" s="82">
        <f t="shared" ca="1" si="3"/>
        <v>0</v>
      </c>
    </row>
    <row r="6" spans="1:21" x14ac:dyDescent="0.25">
      <c r="B6" s="83" t="s">
        <v>5</v>
      </c>
      <c r="C6" s="129">
        <f>Summer!C6:C13</f>
        <v>4</v>
      </c>
      <c r="D6" s="84" t="s">
        <v>20</v>
      </c>
      <c r="E6" s="78">
        <v>2</v>
      </c>
      <c r="F6" s="79">
        <v>2</v>
      </c>
      <c r="G6" s="66">
        <v>0</v>
      </c>
      <c r="H6" s="67">
        <f t="shared" si="4"/>
        <v>0</v>
      </c>
      <c r="I6" s="80">
        <f ca="1">MIN($C$12, $C$9-L5)</f>
        <v>0.16019875107510551</v>
      </c>
      <c r="J6" s="81">
        <f t="shared" ca="1" si="0"/>
        <v>0</v>
      </c>
      <c r="K6" s="81">
        <f ca="1">IF(I6&gt;0,0,-MIN(MAX(F6-H6,0),L5*(1-$C$11),$C$13))</f>
        <v>0</v>
      </c>
      <c r="L6" s="81">
        <f ca="1">L5+J6*(1-$C$10)+K6*(1+$C$11)+I6*(1-$C$10)</f>
        <v>12.990388074935494</v>
      </c>
      <c r="M6" s="68">
        <f t="shared" ca="1" si="5"/>
        <v>2.1601987510751055</v>
      </c>
      <c r="N6" s="154">
        <f>Summer!N6</f>
        <v>7.4999999999999997E-2</v>
      </c>
      <c r="O6" s="68"/>
      <c r="P6" s="82">
        <f t="shared" ca="1" si="1"/>
        <v>0.1620149063306329</v>
      </c>
      <c r="Q6" s="68">
        <f t="shared" ca="1" si="2"/>
        <v>0</v>
      </c>
      <c r="R6" s="82">
        <f t="shared" ca="1" si="3"/>
        <v>0</v>
      </c>
    </row>
    <row r="7" spans="1:21" x14ac:dyDescent="0.25">
      <c r="B7" s="85" t="s">
        <v>6</v>
      </c>
      <c r="C7" s="130">
        <f>Summer!C7</f>
        <v>4</v>
      </c>
      <c r="D7" s="86" t="s">
        <v>20</v>
      </c>
      <c r="E7" s="78">
        <v>3</v>
      </c>
      <c r="F7" s="79">
        <v>4</v>
      </c>
      <c r="G7" s="66">
        <v>0</v>
      </c>
      <c r="H7" s="67">
        <f t="shared" si="4"/>
        <v>0</v>
      </c>
      <c r="I7" s="80">
        <f ca="1">MIN($C$12, $C$9-L6)</f>
        <v>9.6119250645063659E-3</v>
      </c>
      <c r="J7" s="81">
        <f t="shared" ca="1" si="0"/>
        <v>0</v>
      </c>
      <c r="K7" s="81">
        <f ca="1">IF(I7&gt;0,0,-MIN(MAX(F7-H7,0),L6*(1-$C$11),$C$13))</f>
        <v>0</v>
      </c>
      <c r="L7" s="81">
        <f ca="1">L6+J7*(1-$C$10)+K7*(1+$C$11)+I7*(1-$C$10)</f>
        <v>12.99942328449613</v>
      </c>
      <c r="M7" s="68">
        <f t="shared" ca="1" si="5"/>
        <v>4.0096119250645064</v>
      </c>
      <c r="N7" s="154">
        <f>Summer!N7</f>
        <v>7.4999999999999997E-2</v>
      </c>
      <c r="O7" s="68"/>
      <c r="P7" s="82">
        <f t="shared" ca="1" si="1"/>
        <v>0.30072089437983796</v>
      </c>
      <c r="Q7" s="68">
        <f t="shared" ca="1" si="2"/>
        <v>0</v>
      </c>
      <c r="R7" s="82">
        <f t="shared" ca="1" si="3"/>
        <v>0</v>
      </c>
    </row>
    <row r="8" spans="1:21" x14ac:dyDescent="0.25">
      <c r="B8" s="87" t="s">
        <v>22</v>
      </c>
      <c r="C8" s="131">
        <f>Summer!C8</f>
        <v>0.05</v>
      </c>
      <c r="D8" s="88"/>
      <c r="E8" s="78">
        <v>4</v>
      </c>
      <c r="F8" s="79">
        <v>0.3</v>
      </c>
      <c r="G8" s="66">
        <v>0</v>
      </c>
      <c r="H8" s="67">
        <f t="shared" si="4"/>
        <v>0</v>
      </c>
      <c r="I8" s="67">
        <v>0</v>
      </c>
      <c r="J8" s="81">
        <f t="shared" ca="1" si="0"/>
        <v>0</v>
      </c>
      <c r="K8" s="81">
        <f ca="1">IF(I8&gt;0,0,-MIN(MAX(F8-H8,0),L7*(1-$C$11),$C$13))</f>
        <v>-0.3</v>
      </c>
      <c r="L8" s="81">
        <f ca="1">L7+J8*(1-$C$10)+K8*(1+$C$11)+I8*(1-$C$10)</f>
        <v>12.690423284496131</v>
      </c>
      <c r="M8" s="68">
        <f t="shared" ref="M8:M27" ca="1" si="6">MAX(F8-H8+K8,0)</f>
        <v>0</v>
      </c>
      <c r="N8" s="154">
        <f>Summer!N8</f>
        <v>0.4</v>
      </c>
      <c r="O8" s="68"/>
      <c r="P8" s="82">
        <f t="shared" ca="1" si="1"/>
        <v>0</v>
      </c>
      <c r="Q8" s="68">
        <f t="shared" ca="1" si="2"/>
        <v>0</v>
      </c>
      <c r="R8" s="82">
        <f t="shared" ca="1" si="3"/>
        <v>0</v>
      </c>
    </row>
    <row r="9" spans="1:21" x14ac:dyDescent="0.25">
      <c r="B9" s="126" t="s">
        <v>0</v>
      </c>
      <c r="C9" s="132">
        <f>Summer!C9</f>
        <v>13</v>
      </c>
      <c r="D9" s="127" t="s">
        <v>1</v>
      </c>
      <c r="E9" s="78">
        <v>5</v>
      </c>
      <c r="F9" s="79">
        <v>0.3</v>
      </c>
      <c r="G9" s="66">
        <v>0</v>
      </c>
      <c r="H9" s="67">
        <f t="shared" si="4"/>
        <v>0</v>
      </c>
      <c r="I9" s="67">
        <v>0</v>
      </c>
      <c r="J9" s="81">
        <f t="shared" ca="1" si="0"/>
        <v>0</v>
      </c>
      <c r="K9" s="81">
        <f t="shared" ref="K9:K27" ca="1" si="7">-MIN(MAX(F9-H9,0),L8*(1-$C$11),$C$13)</f>
        <v>-0.3</v>
      </c>
      <c r="L9" s="81">
        <f t="shared" ref="L9:L27" ca="1" si="8">L8+J9*(1-$C$10)+K9*(1+$C$11)+I9*(1-$C$10)</f>
        <v>12.381423284496131</v>
      </c>
      <c r="M9" s="68">
        <f t="shared" ca="1" si="6"/>
        <v>0</v>
      </c>
      <c r="N9" s="154">
        <f>Summer!N9</f>
        <v>0.4</v>
      </c>
      <c r="O9" s="68"/>
      <c r="P9" s="82">
        <f t="shared" ca="1" si="1"/>
        <v>0</v>
      </c>
      <c r="Q9" s="68">
        <f t="shared" ca="1" si="2"/>
        <v>0</v>
      </c>
      <c r="R9" s="82">
        <f t="shared" ca="1" si="3"/>
        <v>0</v>
      </c>
    </row>
    <row r="10" spans="1:21" x14ac:dyDescent="0.25">
      <c r="B10" s="89" t="s">
        <v>7</v>
      </c>
      <c r="C10" s="133">
        <f>Summer!C10</f>
        <v>0.06</v>
      </c>
      <c r="D10" s="91" t="s">
        <v>28</v>
      </c>
      <c r="E10" s="78">
        <v>6</v>
      </c>
      <c r="F10" s="79">
        <v>0.3</v>
      </c>
      <c r="G10" s="66">
        <v>0</v>
      </c>
      <c r="H10" s="67">
        <f t="shared" si="4"/>
        <v>0</v>
      </c>
      <c r="I10" s="67">
        <v>0</v>
      </c>
      <c r="J10" s="81">
        <f t="shared" ca="1" si="0"/>
        <v>0</v>
      </c>
      <c r="K10" s="81">
        <f t="shared" ca="1" si="7"/>
        <v>-0.3</v>
      </c>
      <c r="L10" s="81">
        <f t="shared" ca="1" si="8"/>
        <v>12.072423284496132</v>
      </c>
      <c r="M10" s="68">
        <f t="shared" ca="1" si="6"/>
        <v>0</v>
      </c>
      <c r="N10" s="154">
        <f>Summer!N10</f>
        <v>0.4</v>
      </c>
      <c r="O10" s="68"/>
      <c r="P10" s="82">
        <f t="shared" ca="1" si="1"/>
        <v>0</v>
      </c>
      <c r="Q10" s="68">
        <f t="shared" ca="1" si="2"/>
        <v>0</v>
      </c>
      <c r="R10" s="82">
        <f t="shared" ca="1" si="3"/>
        <v>0</v>
      </c>
    </row>
    <row r="11" spans="1:21" x14ac:dyDescent="0.25">
      <c r="B11" s="89" t="s">
        <v>26</v>
      </c>
      <c r="C11" s="133">
        <f>Summer!C11</f>
        <v>0.03</v>
      </c>
      <c r="D11" s="91" t="s">
        <v>28</v>
      </c>
      <c r="E11" s="78">
        <v>7</v>
      </c>
      <c r="F11" s="79">
        <v>1</v>
      </c>
      <c r="G11" s="66">
        <v>0.17142857142857143</v>
      </c>
      <c r="H11" s="67">
        <f t="shared" si="4"/>
        <v>5.1428571428571442E-2</v>
      </c>
      <c r="I11" s="67">
        <v>0</v>
      </c>
      <c r="J11" s="81">
        <f t="shared" ca="1" si="0"/>
        <v>0</v>
      </c>
      <c r="K11" s="81">
        <f t="shared" ca="1" si="7"/>
        <v>-0.94857142857142851</v>
      </c>
      <c r="L11" s="81">
        <f t="shared" ca="1" si="8"/>
        <v>11.095394713067561</v>
      </c>
      <c r="M11" s="68">
        <f t="shared" ca="1" si="6"/>
        <v>0</v>
      </c>
      <c r="N11" s="154">
        <f>Summer!N11</f>
        <v>0.4</v>
      </c>
      <c r="O11" s="68"/>
      <c r="P11" s="82">
        <f t="shared" ca="1" si="1"/>
        <v>0</v>
      </c>
      <c r="Q11" s="68">
        <f t="shared" ca="1" si="2"/>
        <v>0</v>
      </c>
      <c r="R11" s="82">
        <f t="shared" ca="1" si="3"/>
        <v>0</v>
      </c>
    </row>
    <row r="12" spans="1:21" x14ac:dyDescent="0.25">
      <c r="B12" s="89" t="s">
        <v>3</v>
      </c>
      <c r="C12" s="134">
        <f>Summer!C12</f>
        <v>5</v>
      </c>
      <c r="D12" s="92" t="s">
        <v>20</v>
      </c>
      <c r="E12" s="78">
        <v>8</v>
      </c>
      <c r="F12" s="79">
        <v>0.6</v>
      </c>
      <c r="G12" s="66">
        <v>0.39999999999999997</v>
      </c>
      <c r="H12" s="67">
        <f t="shared" si="4"/>
        <v>0.59999999999999987</v>
      </c>
      <c r="I12" s="67">
        <v>0</v>
      </c>
      <c r="J12" s="81">
        <f t="shared" ca="1" si="0"/>
        <v>0</v>
      </c>
      <c r="K12" s="81">
        <f t="shared" ca="1" si="7"/>
        <v>-1.1102230246251565E-16</v>
      </c>
      <c r="L12" s="81">
        <f t="shared" ca="1" si="8"/>
        <v>11.095394713067561</v>
      </c>
      <c r="M12" s="68">
        <f t="shared" ca="1" si="6"/>
        <v>0</v>
      </c>
      <c r="N12" s="154">
        <f>Summer!N12</f>
        <v>0.4</v>
      </c>
      <c r="O12" s="68"/>
      <c r="P12" s="82">
        <f t="shared" ca="1" si="1"/>
        <v>0</v>
      </c>
      <c r="Q12" s="68">
        <f t="shared" ca="1" si="2"/>
        <v>0</v>
      </c>
      <c r="R12" s="82">
        <f t="shared" ca="1" si="3"/>
        <v>0</v>
      </c>
    </row>
    <row r="13" spans="1:21" x14ac:dyDescent="0.25">
      <c r="B13" s="93" t="s">
        <v>4</v>
      </c>
      <c r="C13" s="135">
        <f>Summer!C13</f>
        <v>5</v>
      </c>
      <c r="D13" s="94" t="s">
        <v>20</v>
      </c>
      <c r="E13" s="78">
        <v>9</v>
      </c>
      <c r="F13" s="79">
        <v>0.6</v>
      </c>
      <c r="G13" s="66">
        <v>0.62857142857142867</v>
      </c>
      <c r="H13" s="67">
        <f t="shared" si="4"/>
        <v>1.1485714285714288</v>
      </c>
      <c r="I13" s="67">
        <v>0</v>
      </c>
      <c r="J13" s="81">
        <f t="shared" ca="1" si="0"/>
        <v>0.54857142857142882</v>
      </c>
      <c r="K13" s="81">
        <f t="shared" ca="1" si="7"/>
        <v>0</v>
      </c>
      <c r="L13" s="81">
        <f t="shared" ca="1" si="8"/>
        <v>11.611051855924703</v>
      </c>
      <c r="M13" s="68">
        <f t="shared" ca="1" si="6"/>
        <v>0</v>
      </c>
      <c r="N13" s="154">
        <f>Summer!N13</f>
        <v>0.4</v>
      </c>
      <c r="O13" s="68"/>
      <c r="P13" s="82">
        <f t="shared" ca="1" si="1"/>
        <v>0</v>
      </c>
      <c r="Q13" s="68">
        <f t="shared" ca="1" si="2"/>
        <v>0</v>
      </c>
      <c r="R13" s="82">
        <f t="shared" ca="1" si="3"/>
        <v>0</v>
      </c>
    </row>
    <row r="14" spans="1:21" x14ac:dyDescent="0.25">
      <c r="E14" s="78">
        <v>10</v>
      </c>
      <c r="F14" s="79">
        <v>0.6</v>
      </c>
      <c r="G14" s="66">
        <v>0.82857142857142851</v>
      </c>
      <c r="H14" s="67">
        <f t="shared" si="4"/>
        <v>1.6285714285714283</v>
      </c>
      <c r="I14" s="67">
        <v>0</v>
      </c>
      <c r="J14" s="81">
        <f t="shared" ca="1" si="0"/>
        <v>1.0285714285714285</v>
      </c>
      <c r="K14" s="81">
        <f t="shared" ca="1" si="7"/>
        <v>0</v>
      </c>
      <c r="L14" s="81">
        <f t="shared" ca="1" si="8"/>
        <v>12.577908998781846</v>
      </c>
      <c r="M14" s="68">
        <f t="shared" ca="1" si="6"/>
        <v>0</v>
      </c>
      <c r="N14" s="154">
        <f>Summer!N14</f>
        <v>0.4</v>
      </c>
      <c r="O14" s="68"/>
      <c r="P14" s="82">
        <f t="shared" ca="1" si="1"/>
        <v>0</v>
      </c>
      <c r="Q14" s="68">
        <f t="shared" ca="1" si="2"/>
        <v>0</v>
      </c>
      <c r="R14" s="82">
        <f t="shared" ca="1" si="3"/>
        <v>0</v>
      </c>
    </row>
    <row r="15" spans="1:21" x14ac:dyDescent="0.25">
      <c r="B15" s="95" t="s">
        <v>19</v>
      </c>
      <c r="C15" s="96"/>
      <c r="E15" s="78">
        <v>11</v>
      </c>
      <c r="F15" s="79">
        <v>0.6</v>
      </c>
      <c r="G15" s="66">
        <v>0.91428571428571437</v>
      </c>
      <c r="H15" s="67">
        <f t="shared" si="4"/>
        <v>1.8342857142857143</v>
      </c>
      <c r="I15" s="67">
        <v>0</v>
      </c>
      <c r="J15" s="81">
        <f t="shared" ca="1" si="0"/>
        <v>0.42209100121815446</v>
      </c>
      <c r="K15" s="81">
        <f t="shared" ca="1" si="7"/>
        <v>0</v>
      </c>
      <c r="L15" s="81">
        <f t="shared" ca="1" si="8"/>
        <v>12.974674539926911</v>
      </c>
      <c r="M15" s="68">
        <f t="shared" ca="1" si="6"/>
        <v>0</v>
      </c>
      <c r="N15" s="154">
        <f>Summer!N15</f>
        <v>0.4</v>
      </c>
      <c r="O15" s="68"/>
      <c r="P15" s="82">
        <f t="shared" ca="1" si="1"/>
        <v>0</v>
      </c>
      <c r="Q15" s="68">
        <f t="shared" ca="1" si="2"/>
        <v>0.81219471306755997</v>
      </c>
      <c r="R15" s="82">
        <f t="shared" ca="1" si="3"/>
        <v>4.0609735653377999E-2</v>
      </c>
    </row>
    <row r="16" spans="1:21" x14ac:dyDescent="0.25">
      <c r="B16" s="97"/>
      <c r="E16" s="78">
        <v>12</v>
      </c>
      <c r="F16" s="79">
        <v>1</v>
      </c>
      <c r="G16" s="66">
        <v>1</v>
      </c>
      <c r="H16" s="67">
        <f t="shared" si="4"/>
        <v>2.04</v>
      </c>
      <c r="I16" s="67">
        <v>0</v>
      </c>
      <c r="J16" s="81">
        <f t="shared" ca="1" si="0"/>
        <v>2.5325460073089445E-2</v>
      </c>
      <c r="K16" s="81">
        <f t="shared" ca="1" si="7"/>
        <v>0</v>
      </c>
      <c r="L16" s="81">
        <f t="shared" ca="1" si="8"/>
        <v>12.998480472395615</v>
      </c>
      <c r="M16" s="68">
        <f t="shared" ca="1" si="6"/>
        <v>0</v>
      </c>
      <c r="N16" s="154">
        <f>Summer!N16</f>
        <v>0.4</v>
      </c>
      <c r="O16" s="68"/>
      <c r="P16" s="82">
        <f t="shared" ca="1" si="1"/>
        <v>0</v>
      </c>
      <c r="Q16" s="68">
        <f t="shared" ca="1" si="2"/>
        <v>1.0146745399269106</v>
      </c>
      <c r="R16" s="82">
        <f t="shared" ca="1" si="3"/>
        <v>5.0733726996345534E-2</v>
      </c>
    </row>
    <row r="17" spans="1:22" x14ac:dyDescent="0.25">
      <c r="B17" s="98" t="s">
        <v>9</v>
      </c>
      <c r="E17" s="78">
        <v>13</v>
      </c>
      <c r="F17" s="79">
        <v>1</v>
      </c>
      <c r="G17" s="66">
        <v>0.91428571428571437</v>
      </c>
      <c r="H17" s="67">
        <f t="shared" si="4"/>
        <v>1.8342857142857143</v>
      </c>
      <c r="I17" s="67">
        <v>0</v>
      </c>
      <c r="J17" s="81">
        <f t="shared" ca="1" si="0"/>
        <v>1.519527604385118E-3</v>
      </c>
      <c r="K17" s="81">
        <f t="shared" ca="1" si="7"/>
        <v>0</v>
      </c>
      <c r="L17" s="81">
        <f t="shared" ca="1" si="8"/>
        <v>12.999908828343736</v>
      </c>
      <c r="M17" s="68">
        <f t="shared" ca="1" si="6"/>
        <v>0</v>
      </c>
      <c r="N17" s="154">
        <f>Summer!N17</f>
        <v>0.4</v>
      </c>
      <c r="O17" s="68"/>
      <c r="P17" s="82">
        <f t="shared" ca="1" si="1"/>
        <v>0</v>
      </c>
      <c r="Q17" s="68">
        <f t="shared" ca="1" si="2"/>
        <v>0.83276618668132918</v>
      </c>
      <c r="R17" s="82">
        <f t="shared" ca="1" si="3"/>
        <v>4.163830933406646E-2</v>
      </c>
    </row>
    <row r="18" spans="1:22" x14ac:dyDescent="0.25">
      <c r="B18" s="97" t="s">
        <v>11</v>
      </c>
      <c r="C18" s="99"/>
      <c r="D18" s="99"/>
      <c r="E18" s="78">
        <v>14</v>
      </c>
      <c r="F18" s="79">
        <v>2</v>
      </c>
      <c r="G18" s="66">
        <v>0.8571428571428571</v>
      </c>
      <c r="H18" s="67">
        <f t="shared" si="4"/>
        <v>1.6971428571428568</v>
      </c>
      <c r="I18" s="67">
        <v>0</v>
      </c>
      <c r="J18" s="81">
        <f t="shared" ca="1" si="0"/>
        <v>0</v>
      </c>
      <c r="K18" s="81">
        <f t="shared" ca="1" si="7"/>
        <v>-0.30285714285714316</v>
      </c>
      <c r="L18" s="81">
        <f t="shared" ca="1" si="8"/>
        <v>12.687965971200878</v>
      </c>
      <c r="M18" s="68">
        <f t="shared" ca="1" si="6"/>
        <v>0</v>
      </c>
      <c r="N18" s="154">
        <f>Summer!N18</f>
        <v>0.4</v>
      </c>
      <c r="O18" s="68"/>
      <c r="P18" s="82">
        <f t="shared" ca="1" si="1"/>
        <v>0</v>
      </c>
      <c r="Q18" s="68">
        <f t="shared" ca="1" si="2"/>
        <v>0</v>
      </c>
      <c r="R18" s="82">
        <f t="shared" ca="1" si="3"/>
        <v>0</v>
      </c>
    </row>
    <row r="19" spans="1:22" x14ac:dyDescent="0.25">
      <c r="B19" s="98" t="s">
        <v>34</v>
      </c>
      <c r="E19" s="78">
        <v>15</v>
      </c>
      <c r="F19" s="79">
        <v>1</v>
      </c>
      <c r="G19" s="66">
        <v>0.7142857142857143</v>
      </c>
      <c r="H19" s="67">
        <f t="shared" si="4"/>
        <v>1.3542857142857143</v>
      </c>
      <c r="I19" s="67">
        <v>0</v>
      </c>
      <c r="J19" s="81">
        <f t="shared" ca="1" si="0"/>
        <v>0.3120340287991219</v>
      </c>
      <c r="K19" s="81">
        <f t="shared" ca="1" si="7"/>
        <v>0</v>
      </c>
      <c r="L19" s="81">
        <f t="shared" ca="1" si="8"/>
        <v>12.981277958272052</v>
      </c>
      <c r="M19" s="68">
        <f t="shared" ca="1" si="6"/>
        <v>0</v>
      </c>
      <c r="N19" s="154">
        <f>Summer!N19</f>
        <v>0.4</v>
      </c>
      <c r="O19" s="68"/>
      <c r="P19" s="82">
        <f t="shared" ca="1" si="1"/>
        <v>0</v>
      </c>
      <c r="Q19" s="68">
        <f t="shared" ca="1" si="2"/>
        <v>4.2251685486592416E-2</v>
      </c>
      <c r="R19" s="82">
        <f t="shared" ca="1" si="3"/>
        <v>2.1125842743296209E-3</v>
      </c>
    </row>
    <row r="20" spans="1:22" x14ac:dyDescent="0.25">
      <c r="B20" s="98" t="s">
        <v>10</v>
      </c>
      <c r="E20" s="78">
        <v>16</v>
      </c>
      <c r="F20" s="79">
        <v>1</v>
      </c>
      <c r="G20" s="66">
        <v>0.34285714285714286</v>
      </c>
      <c r="H20" s="67">
        <f t="shared" si="4"/>
        <v>0.46285714285714286</v>
      </c>
      <c r="I20" s="67">
        <v>0</v>
      </c>
      <c r="J20" s="81">
        <f t="shared" ca="1" si="0"/>
        <v>0</v>
      </c>
      <c r="K20" s="81">
        <f t="shared" ca="1" si="7"/>
        <v>-0.53714285714285714</v>
      </c>
      <c r="L20" s="81">
        <f t="shared" ca="1" si="8"/>
        <v>12.428020815414909</v>
      </c>
      <c r="M20" s="68">
        <f t="shared" ca="1" si="6"/>
        <v>0</v>
      </c>
      <c r="N20" s="154">
        <f>Summer!N20</f>
        <v>0.4</v>
      </c>
      <c r="O20" s="68"/>
      <c r="P20" s="82">
        <f t="shared" ca="1" si="1"/>
        <v>0</v>
      </c>
      <c r="Q20" s="68">
        <f t="shared" ca="1" si="2"/>
        <v>0</v>
      </c>
      <c r="R20" s="82">
        <f t="shared" ca="1" si="3"/>
        <v>0</v>
      </c>
    </row>
    <row r="21" spans="1:22" x14ac:dyDescent="0.25">
      <c r="E21" s="78">
        <v>17</v>
      </c>
      <c r="F21" s="79">
        <v>1</v>
      </c>
      <c r="G21" s="66">
        <v>0.1142857142857143</v>
      </c>
      <c r="H21" s="67">
        <f t="shared" si="4"/>
        <v>0</v>
      </c>
      <c r="I21" s="67">
        <v>0</v>
      </c>
      <c r="J21" s="81">
        <f t="shared" ca="1" si="0"/>
        <v>0</v>
      </c>
      <c r="K21" s="81">
        <f t="shared" ca="1" si="7"/>
        <v>-1</v>
      </c>
      <c r="L21" s="81">
        <f t="shared" ca="1" si="8"/>
        <v>11.39802081541491</v>
      </c>
      <c r="M21" s="68">
        <f t="shared" ca="1" si="6"/>
        <v>0</v>
      </c>
      <c r="N21" s="154">
        <f>Summer!N21</f>
        <v>0.4</v>
      </c>
      <c r="O21" s="68"/>
      <c r="P21" s="82">
        <f t="shared" ca="1" si="1"/>
        <v>0</v>
      </c>
      <c r="Q21" s="68">
        <f t="shared" ca="1" si="2"/>
        <v>0</v>
      </c>
      <c r="R21" s="82">
        <f t="shared" ca="1" si="3"/>
        <v>0</v>
      </c>
      <c r="S21" s="105" t="s">
        <v>24</v>
      </c>
    </row>
    <row r="22" spans="1:22" x14ac:dyDescent="0.25">
      <c r="B22" s="98" t="s">
        <v>31</v>
      </c>
      <c r="E22" s="78">
        <v>18</v>
      </c>
      <c r="F22" s="79">
        <v>2</v>
      </c>
      <c r="G22" s="66">
        <v>0</v>
      </c>
      <c r="H22" s="67">
        <f t="shared" si="4"/>
        <v>0</v>
      </c>
      <c r="I22" s="67">
        <v>0</v>
      </c>
      <c r="J22" s="81">
        <f t="shared" ca="1" si="0"/>
        <v>0</v>
      </c>
      <c r="K22" s="81">
        <f t="shared" ca="1" si="7"/>
        <v>-2</v>
      </c>
      <c r="L22" s="81">
        <f t="shared" ca="1" si="8"/>
        <v>9.3380208154149091</v>
      </c>
      <c r="M22" s="68">
        <f t="shared" ca="1" si="6"/>
        <v>0</v>
      </c>
      <c r="N22" s="154">
        <f>Summer!N22</f>
        <v>0.4</v>
      </c>
      <c r="O22" s="68"/>
      <c r="P22" s="82">
        <f t="shared" ca="1" si="1"/>
        <v>0</v>
      </c>
      <c r="Q22" s="68">
        <f t="shared" ca="1" si="2"/>
        <v>0</v>
      </c>
      <c r="R22" s="82">
        <f t="shared" ca="1" si="3"/>
        <v>0</v>
      </c>
      <c r="S22" s="105" t="s">
        <v>32</v>
      </c>
    </row>
    <row r="23" spans="1:22" x14ac:dyDescent="0.25">
      <c r="B23" s="98" t="s">
        <v>30</v>
      </c>
      <c r="E23" s="78">
        <v>19</v>
      </c>
      <c r="F23" s="79">
        <v>1.5</v>
      </c>
      <c r="G23" s="66">
        <v>0</v>
      </c>
      <c r="H23" s="67">
        <f t="shared" si="4"/>
        <v>0</v>
      </c>
      <c r="I23" s="67">
        <v>0</v>
      </c>
      <c r="J23" s="81">
        <f t="shared" ca="1" si="0"/>
        <v>0</v>
      </c>
      <c r="K23" s="81">
        <f t="shared" ca="1" si="7"/>
        <v>-1.5</v>
      </c>
      <c r="L23" s="81">
        <f t="shared" ca="1" si="8"/>
        <v>7.7930208154149092</v>
      </c>
      <c r="M23" s="68">
        <f t="shared" ca="1" si="6"/>
        <v>0</v>
      </c>
      <c r="N23" s="154">
        <f>Summer!N23</f>
        <v>0.4</v>
      </c>
      <c r="O23" s="68"/>
      <c r="P23" s="82">
        <f t="shared" ca="1" si="1"/>
        <v>0</v>
      </c>
      <c r="Q23" s="68">
        <f t="shared" ca="1" si="2"/>
        <v>0</v>
      </c>
      <c r="R23" s="82">
        <f t="shared" ca="1" si="3"/>
        <v>0</v>
      </c>
      <c r="S23" s="105" t="s">
        <v>36</v>
      </c>
    </row>
    <row r="24" spans="1:22" x14ac:dyDescent="0.25">
      <c r="B24" s="98" t="s">
        <v>29</v>
      </c>
      <c r="E24" s="78">
        <v>20</v>
      </c>
      <c r="F24" s="79">
        <v>1</v>
      </c>
      <c r="G24" s="66">
        <v>0</v>
      </c>
      <c r="H24" s="67">
        <f t="shared" si="4"/>
        <v>0</v>
      </c>
      <c r="I24" s="67">
        <v>0</v>
      </c>
      <c r="J24" s="81">
        <f t="shared" ca="1" si="0"/>
        <v>0</v>
      </c>
      <c r="K24" s="81">
        <f t="shared" ca="1" si="7"/>
        <v>-1</v>
      </c>
      <c r="L24" s="81">
        <f t="shared" ca="1" si="8"/>
        <v>6.763020815414909</v>
      </c>
      <c r="M24" s="68">
        <f t="shared" ca="1" si="6"/>
        <v>0</v>
      </c>
      <c r="N24" s="154">
        <f>Summer!N24</f>
        <v>0.4</v>
      </c>
      <c r="O24" s="68"/>
      <c r="P24" s="82">
        <f t="shared" ca="1" si="1"/>
        <v>0</v>
      </c>
      <c r="Q24" s="68">
        <f t="shared" ca="1" si="2"/>
        <v>0</v>
      </c>
      <c r="R24" s="82">
        <f t="shared" ca="1" si="3"/>
        <v>0</v>
      </c>
      <c r="S24" s="128">
        <f>Summer!S24</f>
        <v>0.43</v>
      </c>
    </row>
    <row r="25" spans="1:22" x14ac:dyDescent="0.25">
      <c r="B25" s="101" t="s">
        <v>40</v>
      </c>
      <c r="C25" s="102"/>
      <c r="E25" s="78">
        <v>21</v>
      </c>
      <c r="F25" s="79">
        <v>0.5</v>
      </c>
      <c r="G25" s="66">
        <v>0</v>
      </c>
      <c r="H25" s="67">
        <f t="shared" si="4"/>
        <v>0</v>
      </c>
      <c r="I25" s="67">
        <v>0</v>
      </c>
      <c r="J25" s="81">
        <f t="shared" ca="1" si="0"/>
        <v>0</v>
      </c>
      <c r="K25" s="81">
        <f t="shared" ca="1" si="7"/>
        <v>-0.5</v>
      </c>
      <c r="L25" s="81">
        <f t="shared" ca="1" si="8"/>
        <v>6.2480208154149093</v>
      </c>
      <c r="M25" s="68">
        <f t="shared" ca="1" si="6"/>
        <v>0</v>
      </c>
      <c r="N25" s="154">
        <f>Summer!N25</f>
        <v>0.4</v>
      </c>
      <c r="O25" s="68"/>
      <c r="P25" s="82">
        <f t="shared" ca="1" si="1"/>
        <v>0</v>
      </c>
      <c r="Q25" s="68">
        <f t="shared" ca="1" si="2"/>
        <v>0</v>
      </c>
      <c r="R25" s="82">
        <f t="shared" ca="1" si="3"/>
        <v>0</v>
      </c>
    </row>
    <row r="26" spans="1:22" x14ac:dyDescent="0.25">
      <c r="B26" s="103" t="s">
        <v>38</v>
      </c>
      <c r="C26" s="104">
        <v>0.6</v>
      </c>
      <c r="E26" s="78">
        <v>22</v>
      </c>
      <c r="F26" s="79">
        <v>0.3</v>
      </c>
      <c r="G26" s="66">
        <v>0</v>
      </c>
      <c r="H26" s="67">
        <f t="shared" si="4"/>
        <v>0</v>
      </c>
      <c r="I26" s="67">
        <v>0</v>
      </c>
      <c r="J26" s="81">
        <f t="shared" ca="1" si="0"/>
        <v>0</v>
      </c>
      <c r="K26" s="81">
        <f t="shared" ca="1" si="7"/>
        <v>-0.3</v>
      </c>
      <c r="L26" s="81">
        <f t="shared" ca="1" si="8"/>
        <v>5.9390208154149091</v>
      </c>
      <c r="M26" s="68">
        <f t="shared" ca="1" si="6"/>
        <v>0</v>
      </c>
      <c r="N26" s="154">
        <f>Summer!N26</f>
        <v>0.4</v>
      </c>
      <c r="O26" s="68"/>
      <c r="P26" s="82">
        <f t="shared" ca="1" si="1"/>
        <v>0</v>
      </c>
      <c r="Q26" s="68">
        <f t="shared" ca="1" si="2"/>
        <v>0</v>
      </c>
      <c r="R26" s="82">
        <f t="shared" ca="1" si="3"/>
        <v>0</v>
      </c>
      <c r="S26" s="147" t="s">
        <v>24</v>
      </c>
      <c r="T26" s="144" t="s">
        <v>37</v>
      </c>
      <c r="U26" s="144" t="s">
        <v>44</v>
      </c>
      <c r="V26" s="139" t="s">
        <v>47</v>
      </c>
    </row>
    <row r="27" spans="1:22" x14ac:dyDescent="0.25">
      <c r="B27" s="107" t="s">
        <v>39</v>
      </c>
      <c r="C27" s="108">
        <v>0.15</v>
      </c>
      <c r="E27" s="78">
        <v>23</v>
      </c>
      <c r="F27" s="79">
        <v>0.3</v>
      </c>
      <c r="G27" s="66">
        <v>0</v>
      </c>
      <c r="H27" s="67">
        <f t="shared" si="4"/>
        <v>0</v>
      </c>
      <c r="I27" s="67">
        <v>0</v>
      </c>
      <c r="J27" s="81">
        <f t="shared" ca="1" si="0"/>
        <v>0</v>
      </c>
      <c r="K27" s="81">
        <f t="shared" ca="1" si="7"/>
        <v>-0.3</v>
      </c>
      <c r="L27" s="81">
        <f t="shared" ca="1" si="8"/>
        <v>5.630020815414909</v>
      </c>
      <c r="M27" s="68">
        <f t="shared" ca="1" si="6"/>
        <v>0</v>
      </c>
      <c r="N27" s="154">
        <f>Summer!N27</f>
        <v>0.4</v>
      </c>
      <c r="O27" s="68"/>
      <c r="P27" s="82">
        <f t="shared" ca="1" si="1"/>
        <v>0</v>
      </c>
      <c r="Q27" s="68">
        <f t="shared" ca="1" si="2"/>
        <v>0</v>
      </c>
      <c r="R27" s="82">
        <f t="shared" ca="1" si="3"/>
        <v>0</v>
      </c>
      <c r="S27" s="147" t="s">
        <v>25</v>
      </c>
      <c r="T27" s="144" t="s">
        <v>25</v>
      </c>
      <c r="U27" s="144" t="s">
        <v>25</v>
      </c>
      <c r="V27" s="139" t="s">
        <v>48</v>
      </c>
    </row>
    <row r="28" spans="1:22" x14ac:dyDescent="0.25">
      <c r="A28" s="109"/>
      <c r="B28" s="109"/>
      <c r="C28" s="109"/>
      <c r="D28" s="109"/>
      <c r="E28" s="110" t="s">
        <v>2</v>
      </c>
      <c r="F28" s="111">
        <f>SUM(F4:F27)</f>
        <v>26.900000000000002</v>
      </c>
      <c r="G28" s="112"/>
      <c r="H28" s="113">
        <f>SUM(H4:H27)</f>
        <v>12.651428571428571</v>
      </c>
      <c r="I28" s="113">
        <f ca="1">SUM(I4:I27)</f>
        <v>7.8397898607247036</v>
      </c>
      <c r="J28" s="114">
        <f ca="1">SUM(J4:J27)</f>
        <v>2.3381128748376083</v>
      </c>
      <c r="K28" s="114">
        <f ca="1">SUM(K4:K27)</f>
        <v>-9.28857142857143</v>
      </c>
      <c r="L28" s="111"/>
      <c r="M28" s="114">
        <f ca="1">SUM(M4:M27)</f>
        <v>17.839789860724704</v>
      </c>
      <c r="N28" s="115"/>
      <c r="O28" s="114"/>
      <c r="P28" s="115">
        <f ca="1">SUM(P4:P27)</f>
        <v>1.3379842395543529</v>
      </c>
      <c r="Q28" s="114">
        <f ca="1">SUM(Q4:Q27)</f>
        <v>2.7018871251623917</v>
      </c>
      <c r="R28" s="115">
        <f ca="1">SUM(R4:R27)</f>
        <v>0.13509435625811961</v>
      </c>
      <c r="S28" s="148">
        <f ca="1">P28+S24</f>
        <v>1.7679842395543528</v>
      </c>
      <c r="T28" s="145">
        <f ca="1">S28*7</f>
        <v>12.375889676880469</v>
      </c>
      <c r="U28" s="145">
        <f ca="1">S28*122</f>
        <v>215.69407722563105</v>
      </c>
      <c r="V28" s="140">
        <f ca="1">122* R28</f>
        <v>16.481511463490591</v>
      </c>
    </row>
    <row r="29" spans="1:22" x14ac:dyDescent="0.25">
      <c r="B29" s="116" t="s">
        <v>57</v>
      </c>
      <c r="E29" s="65"/>
      <c r="G29" s="66"/>
      <c r="H29" s="67"/>
      <c r="I29" s="67"/>
      <c r="J29" s="68"/>
      <c r="K29" s="68"/>
      <c r="M29" s="68"/>
      <c r="N29" s="68"/>
      <c r="O29" s="68"/>
      <c r="Q29" s="68"/>
      <c r="U29" s="65"/>
    </row>
    <row r="30" spans="1:22" x14ac:dyDescent="0.25">
      <c r="B30" s="116" t="s">
        <v>58</v>
      </c>
      <c r="E30" s="65"/>
      <c r="G30" s="66"/>
      <c r="H30" s="67"/>
      <c r="I30" s="67"/>
      <c r="J30" s="68"/>
      <c r="K30" s="68"/>
      <c r="M30" s="68"/>
      <c r="N30" s="68"/>
      <c r="O30" s="68"/>
      <c r="Q30" s="68"/>
      <c r="S30" s="106" t="s">
        <v>45</v>
      </c>
      <c r="U30" s="145">
        <f ca="1">U28+Summer!U28+Winter!U28</f>
        <v>751.82364297452409</v>
      </c>
    </row>
    <row r="31" spans="1:22" x14ac:dyDescent="0.25">
      <c r="B31" s="116"/>
      <c r="C31" s="109"/>
      <c r="D31" s="109"/>
      <c r="E31" s="117"/>
      <c r="F31" s="109"/>
      <c r="G31" s="118"/>
      <c r="H31" s="119"/>
      <c r="I31" s="119"/>
      <c r="J31" s="68"/>
      <c r="K31" s="68"/>
      <c r="M31" s="68"/>
      <c r="N31" s="68"/>
      <c r="O31" s="68"/>
      <c r="Q31" s="68"/>
      <c r="S31" s="138" t="s">
        <v>52</v>
      </c>
      <c r="U31" s="146">
        <f ca="1">V28+ Summer!V28+Winter!V28</f>
        <v>37.78485387036455</v>
      </c>
    </row>
    <row r="32" spans="1:22" x14ac:dyDescent="0.25">
      <c r="B32" s="116"/>
      <c r="C32" s="109"/>
      <c r="D32" s="109"/>
      <c r="E32" s="117"/>
      <c r="F32" s="109"/>
      <c r="G32" s="118"/>
      <c r="H32" s="119"/>
      <c r="I32" s="119"/>
      <c r="J32" s="68"/>
      <c r="K32" s="68"/>
      <c r="M32" s="68"/>
      <c r="N32" s="68"/>
      <c r="O32" s="68"/>
      <c r="Q32" s="68"/>
      <c r="S32" s="106" t="s">
        <v>51</v>
      </c>
      <c r="U32" s="145">
        <f ca="1">U30-U31</f>
        <v>714.03878910415949</v>
      </c>
    </row>
    <row r="33" spans="2:17" x14ac:dyDescent="0.25">
      <c r="B33" s="116"/>
      <c r="C33" s="109"/>
      <c r="D33" s="109"/>
      <c r="E33" s="117"/>
      <c r="F33" s="109"/>
      <c r="G33" s="118"/>
      <c r="H33" s="119"/>
      <c r="I33" s="119"/>
      <c r="J33" s="68"/>
      <c r="K33" s="68"/>
      <c r="M33" s="68"/>
      <c r="N33" s="68"/>
      <c r="O33" s="68"/>
      <c r="Q33" s="68"/>
    </row>
    <row r="34" spans="2:17" x14ac:dyDescent="0.25">
      <c r="B34" s="116"/>
      <c r="E34" s="65"/>
      <c r="G34" s="66"/>
      <c r="H34" s="67"/>
      <c r="I34" s="67"/>
      <c r="J34" s="68"/>
      <c r="K34" s="68"/>
      <c r="M34" s="68"/>
      <c r="N34" s="68"/>
      <c r="O34" s="68"/>
      <c r="Q34" s="68"/>
    </row>
    <row r="35" spans="2:17" x14ac:dyDescent="0.25">
      <c r="E35" s="65"/>
      <c r="G35" s="66"/>
      <c r="H35" s="67"/>
      <c r="I35" s="67"/>
      <c r="J35" s="68"/>
      <c r="K35" s="68"/>
      <c r="M35" s="68"/>
      <c r="N35" s="68"/>
      <c r="O35" s="68"/>
      <c r="Q35" s="68"/>
    </row>
  </sheetData>
  <sheetProtection password="C464" sheet="1" objects="1" scenarios="1"/>
  <protectedRanges>
    <protectedRange sqref="C26:C27" name="Range2"/>
    <protectedRange sqref="F4:F27" name="Range1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workbookViewId="0">
      <selection activeCell="B1" sqref="B1"/>
    </sheetView>
  </sheetViews>
  <sheetFormatPr defaultRowHeight="15.75" x14ac:dyDescent="0.25"/>
  <cols>
    <col min="1" max="1" width="3.5" style="63" customWidth="1"/>
    <col min="2" max="2" width="17.625" style="63" customWidth="1"/>
    <col min="3" max="3" width="5.625" style="63" customWidth="1"/>
    <col min="4" max="4" width="4.75" style="63" customWidth="1"/>
    <col min="5" max="5" width="4.875" style="63" customWidth="1"/>
    <col min="6" max="6" width="12" style="63" customWidth="1"/>
    <col min="7" max="7" width="6.5" style="63" customWidth="1"/>
    <col min="8" max="8" width="10.625" style="63" customWidth="1"/>
    <col min="9" max="9" width="8.5" style="63" customWidth="1"/>
    <col min="10" max="10" width="7.375" style="63" customWidth="1"/>
    <col min="11" max="11" width="9" style="63"/>
    <col min="12" max="12" width="8.5" style="63" customWidth="1"/>
    <col min="13" max="13" width="7.875" style="63" customWidth="1"/>
    <col min="14" max="14" width="7.75" style="63" customWidth="1"/>
    <col min="15" max="15" width="3.625" style="63" customWidth="1"/>
    <col min="16" max="16" width="6.875" style="63" customWidth="1"/>
    <col min="17" max="17" width="7.5" style="63" customWidth="1"/>
    <col min="18" max="20" width="9" style="63"/>
    <col min="21" max="21" width="9.875" style="63" customWidth="1"/>
    <col min="22" max="16384" width="9" style="63"/>
  </cols>
  <sheetData>
    <row r="1" spans="1:21" ht="18" customHeight="1" x14ac:dyDescent="0.25">
      <c r="B1" s="64" t="s">
        <v>56</v>
      </c>
      <c r="E1" s="65"/>
      <c r="G1" s="66"/>
      <c r="H1" s="67"/>
      <c r="I1" s="67"/>
      <c r="J1" s="68"/>
      <c r="K1" s="68"/>
      <c r="M1" s="68"/>
      <c r="N1" s="68"/>
      <c r="O1" s="68"/>
      <c r="Q1" s="68"/>
    </row>
    <row r="2" spans="1:21" ht="60" customHeight="1" x14ac:dyDescent="0.25">
      <c r="A2" s="69"/>
      <c r="B2" s="70" t="s">
        <v>42</v>
      </c>
      <c r="C2" s="69"/>
      <c r="D2" s="69"/>
      <c r="E2" s="69" t="s">
        <v>27</v>
      </c>
      <c r="F2" s="69" t="s">
        <v>12</v>
      </c>
      <c r="G2" s="69" t="s">
        <v>18</v>
      </c>
      <c r="H2" s="71" t="s">
        <v>13</v>
      </c>
      <c r="I2" s="72" t="s">
        <v>35</v>
      </c>
      <c r="J2" s="73" t="s">
        <v>14</v>
      </c>
      <c r="K2" s="73" t="s">
        <v>15</v>
      </c>
      <c r="L2" s="74" t="s">
        <v>8</v>
      </c>
      <c r="M2" s="71" t="s">
        <v>16</v>
      </c>
      <c r="N2" s="71" t="s">
        <v>33</v>
      </c>
      <c r="O2" s="71"/>
      <c r="P2" s="71" t="s">
        <v>21</v>
      </c>
      <c r="Q2" s="71" t="s">
        <v>17</v>
      </c>
      <c r="R2" s="71" t="s">
        <v>23</v>
      </c>
      <c r="S2" s="71"/>
      <c r="T2" s="69"/>
      <c r="U2" s="69"/>
    </row>
    <row r="3" spans="1:21" ht="3" customHeight="1" x14ac:dyDescent="0.25">
      <c r="A3" s="69"/>
      <c r="B3" s="75"/>
      <c r="C3" s="69"/>
      <c r="D3" s="69"/>
      <c r="E3" s="69"/>
      <c r="F3" s="69"/>
      <c r="G3" s="69"/>
      <c r="H3" s="71"/>
      <c r="I3" s="76"/>
      <c r="J3" s="73"/>
      <c r="K3" s="73"/>
      <c r="L3" s="74"/>
      <c r="M3" s="71"/>
      <c r="N3" s="71"/>
      <c r="O3" s="71"/>
      <c r="P3" s="71"/>
      <c r="Q3" s="71"/>
      <c r="R3" s="71"/>
      <c r="S3" s="71"/>
      <c r="T3" s="69"/>
      <c r="U3" s="69"/>
    </row>
    <row r="4" spans="1:21" x14ac:dyDescent="0.25">
      <c r="B4" s="77"/>
      <c r="E4" s="78">
        <v>0</v>
      </c>
      <c r="F4" s="79">
        <v>4</v>
      </c>
      <c r="G4" s="66">
        <v>0</v>
      </c>
      <c r="H4" s="67">
        <f>MIN($C$6*$C$26*MAX(G4-$C$27,0),$C$7)</f>
        <v>0</v>
      </c>
      <c r="I4" s="80">
        <f ca="1">MIN($C$12, $C$9-L27)</f>
        <v>5</v>
      </c>
      <c r="J4" s="81">
        <f t="shared" ref="J4:J27" si="0">MIN(MAX(H4-F4, 0),$C$9-L3,$C$12)</f>
        <v>0</v>
      </c>
      <c r="K4" s="81">
        <f ca="1">IF(I4&gt;0,0,-MIN(MAX(F4-H4,0),L3*(1-$C$11),$C$13))</f>
        <v>0</v>
      </c>
      <c r="L4" s="81">
        <f ca="1">L27+J4*(1-$C$10)+K4*(1+$C$11)+I4*(1-$C$10)</f>
        <v>4.7000000000560993</v>
      </c>
      <c r="M4" s="68">
        <f ca="1">MAX(F4-H4+K4,0)+I4</f>
        <v>9</v>
      </c>
      <c r="N4" s="155">
        <f>Summer!N4</f>
        <v>7.4999999999999997E-2</v>
      </c>
      <c r="O4" s="68"/>
      <c r="P4" s="82">
        <f t="shared" ref="P4:P27" ca="1" si="1">M4*N4</f>
        <v>0.67499999999999993</v>
      </c>
      <c r="Q4" s="68">
        <f t="shared" ref="Q4:Q27" si="2">MAX(H4-F4, 0)-J4</f>
        <v>0</v>
      </c>
      <c r="R4" s="82">
        <f t="shared" ref="R4:R27" si="3">Q4*$C$8</f>
        <v>0</v>
      </c>
    </row>
    <row r="5" spans="1:21" x14ac:dyDescent="0.25">
      <c r="E5" s="78">
        <v>1</v>
      </c>
      <c r="F5" s="79">
        <v>4</v>
      </c>
      <c r="G5" s="66">
        <v>0</v>
      </c>
      <c r="H5" s="67">
        <f t="shared" ref="H5:H27" si="4">MIN($C$6*$C$26*MAX(G5-$C$27,0),$C$7)</f>
        <v>0</v>
      </c>
      <c r="I5" s="80">
        <f ca="1">MIN($C$12, $C$9-L4)</f>
        <v>5</v>
      </c>
      <c r="J5" s="81">
        <f t="shared" ca="1" si="0"/>
        <v>0</v>
      </c>
      <c r="K5" s="81">
        <f ca="1">IF(I5&gt;0,0,-MIN(MAX(F5-H5,0),L4*(1-$C$11),$C$13))</f>
        <v>0</v>
      </c>
      <c r="L5" s="81">
        <f ca="1">L4+J5*(1-$C$10)+K5*(1+$C$11)+I5*(1-$C$10)</f>
        <v>9.4000000000560995</v>
      </c>
      <c r="M5" s="68">
        <f t="shared" ref="M5:M7" ca="1" si="5">MAX(F5-H5+K5,0)+I5</f>
        <v>9</v>
      </c>
      <c r="N5" s="155">
        <f>Summer!N5</f>
        <v>7.4999999999999997E-2</v>
      </c>
      <c r="O5" s="68"/>
      <c r="P5" s="82">
        <f t="shared" ca="1" si="1"/>
        <v>0.67499999999999993</v>
      </c>
      <c r="Q5" s="68">
        <f t="shared" ca="1" si="2"/>
        <v>0</v>
      </c>
      <c r="R5" s="82">
        <f t="shared" ca="1" si="3"/>
        <v>0</v>
      </c>
    </row>
    <row r="6" spans="1:21" x14ac:dyDescent="0.25">
      <c r="B6" s="83" t="s">
        <v>5</v>
      </c>
      <c r="C6" s="120">
        <f>Summer!C6:C13</f>
        <v>4</v>
      </c>
      <c r="D6" s="84" t="s">
        <v>20</v>
      </c>
      <c r="E6" s="78">
        <v>2</v>
      </c>
      <c r="F6" s="79">
        <v>4</v>
      </c>
      <c r="G6" s="66">
        <v>0</v>
      </c>
      <c r="H6" s="67">
        <f t="shared" si="4"/>
        <v>0</v>
      </c>
      <c r="I6" s="80">
        <f ca="1">MIN($C$12, $C$9-L5)</f>
        <v>3.5999999999439005</v>
      </c>
      <c r="J6" s="81">
        <f t="shared" ca="1" si="0"/>
        <v>0</v>
      </c>
      <c r="K6" s="81">
        <f ca="1">IF(I6&gt;0,0,-MIN(MAX(F6-H6,0),L5*(1-$C$11),$C$13))</f>
        <v>0</v>
      </c>
      <c r="L6" s="81">
        <f ca="1">L5+J6*(1-$C$10)+K6*(1+$C$11)+I6*(1-$C$10)</f>
        <v>12.784000000003365</v>
      </c>
      <c r="M6" s="68">
        <f t="shared" ca="1" si="5"/>
        <v>7.5999999999439005</v>
      </c>
      <c r="N6" s="155">
        <f>Summer!N6</f>
        <v>7.4999999999999997E-2</v>
      </c>
      <c r="O6" s="68"/>
      <c r="P6" s="82">
        <f t="shared" ca="1" si="1"/>
        <v>0.56999999999579254</v>
      </c>
      <c r="Q6" s="68">
        <f t="shared" ca="1" si="2"/>
        <v>0</v>
      </c>
      <c r="R6" s="82">
        <f t="shared" ca="1" si="3"/>
        <v>0</v>
      </c>
    </row>
    <row r="7" spans="1:21" x14ac:dyDescent="0.25">
      <c r="B7" s="85" t="s">
        <v>6</v>
      </c>
      <c r="C7" s="121">
        <f>Summer!C7</f>
        <v>4</v>
      </c>
      <c r="D7" s="86" t="s">
        <v>20</v>
      </c>
      <c r="E7" s="78">
        <v>3</v>
      </c>
      <c r="F7" s="79">
        <v>5</v>
      </c>
      <c r="G7" s="66">
        <v>0</v>
      </c>
      <c r="H7" s="67">
        <f t="shared" si="4"/>
        <v>0</v>
      </c>
      <c r="I7" s="80">
        <f ca="1">MIN($C$12, $C$9-L6)</f>
        <v>0.21599999999663488</v>
      </c>
      <c r="J7" s="81">
        <f t="shared" ca="1" si="0"/>
        <v>0</v>
      </c>
      <c r="K7" s="81">
        <f ca="1">IF(I7&gt;0,0,-MIN(MAX(F7-H7,0),L6*(1-$C$11),$C$13))</f>
        <v>0</v>
      </c>
      <c r="L7" s="81">
        <f ca="1">L6+J7*(1-$C$10)+K7*(1+$C$11)+I7*(1-$C$10)</f>
        <v>12.987040000000201</v>
      </c>
      <c r="M7" s="68">
        <f t="shared" ca="1" si="5"/>
        <v>5.2159999999966349</v>
      </c>
      <c r="N7" s="155">
        <f>Summer!N7</f>
        <v>7.4999999999999997E-2</v>
      </c>
      <c r="O7" s="68"/>
      <c r="P7" s="82">
        <f t="shared" ca="1" si="1"/>
        <v>0.39119999999974758</v>
      </c>
      <c r="Q7" s="68">
        <f t="shared" ca="1" si="2"/>
        <v>0</v>
      </c>
      <c r="R7" s="82">
        <f t="shared" ca="1" si="3"/>
        <v>0</v>
      </c>
    </row>
    <row r="8" spans="1:21" x14ac:dyDescent="0.25">
      <c r="B8" s="87" t="s">
        <v>22</v>
      </c>
      <c r="C8" s="122">
        <f>Summer!C8</f>
        <v>0.05</v>
      </c>
      <c r="D8" s="88"/>
      <c r="E8" s="78">
        <v>4</v>
      </c>
      <c r="F8" s="79">
        <v>0.3</v>
      </c>
      <c r="G8" s="66">
        <v>0</v>
      </c>
      <c r="H8" s="67">
        <f t="shared" si="4"/>
        <v>0</v>
      </c>
      <c r="I8" s="67">
        <v>0</v>
      </c>
      <c r="J8" s="81">
        <f t="shared" ca="1" si="0"/>
        <v>0</v>
      </c>
      <c r="K8" s="81">
        <f ca="1">IF(I8&gt;0,0,-MIN(MAX(F8-H8,0),L7*(1-$C$11),$C$13))</f>
        <v>-0.3</v>
      </c>
      <c r="L8" s="81">
        <f ca="1">L7+J8*(1-$C$10)+K8*(1+$C$11)+I8*(1-$C$10)</f>
        <v>12.678040000000202</v>
      </c>
      <c r="M8" s="68">
        <f t="shared" ref="M8:M27" ca="1" si="6">MAX(F8-H8+K8,0)</f>
        <v>0</v>
      </c>
      <c r="N8" s="155">
        <f>Summer!N8</f>
        <v>0.4</v>
      </c>
      <c r="O8" s="68"/>
      <c r="P8" s="82">
        <f t="shared" ca="1" si="1"/>
        <v>0</v>
      </c>
      <c r="Q8" s="68">
        <f t="shared" ca="1" si="2"/>
        <v>0</v>
      </c>
      <c r="R8" s="82">
        <f t="shared" ca="1" si="3"/>
        <v>0</v>
      </c>
    </row>
    <row r="9" spans="1:21" x14ac:dyDescent="0.25">
      <c r="B9" s="89" t="s">
        <v>0</v>
      </c>
      <c r="C9" s="123">
        <f>Summer!C9</f>
        <v>13</v>
      </c>
      <c r="D9" s="90" t="s">
        <v>1</v>
      </c>
      <c r="E9" s="78">
        <v>5</v>
      </c>
      <c r="F9" s="79">
        <v>0.3</v>
      </c>
      <c r="G9" s="66">
        <v>0</v>
      </c>
      <c r="H9" s="67">
        <f t="shared" si="4"/>
        <v>0</v>
      </c>
      <c r="I9" s="67">
        <v>0</v>
      </c>
      <c r="J9" s="81">
        <f t="shared" ca="1" si="0"/>
        <v>0</v>
      </c>
      <c r="K9" s="81">
        <f t="shared" ref="K9:K27" ca="1" si="7">-MIN(MAX(F9-H9,0),L8*(1-$C$11),$C$13)</f>
        <v>-0.3</v>
      </c>
      <c r="L9" s="81">
        <f t="shared" ref="L9:L27" ca="1" si="8">L8+J9*(1-$C$10)+K9*(1+$C$11)+I9*(1-$C$10)</f>
        <v>12.369040000000203</v>
      </c>
      <c r="M9" s="68">
        <f t="shared" ca="1" si="6"/>
        <v>0</v>
      </c>
      <c r="N9" s="155">
        <f>Summer!N9</f>
        <v>0.4</v>
      </c>
      <c r="O9" s="68"/>
      <c r="P9" s="82">
        <f t="shared" ca="1" si="1"/>
        <v>0</v>
      </c>
      <c r="Q9" s="68">
        <f t="shared" ca="1" si="2"/>
        <v>0</v>
      </c>
      <c r="R9" s="82">
        <f t="shared" ca="1" si="3"/>
        <v>0</v>
      </c>
    </row>
    <row r="10" spans="1:21" x14ac:dyDescent="0.25">
      <c r="B10" s="89" t="s">
        <v>7</v>
      </c>
      <c r="C10" s="124">
        <f>Summer!C10</f>
        <v>0.06</v>
      </c>
      <c r="D10" s="91" t="s">
        <v>28</v>
      </c>
      <c r="E10" s="78">
        <v>6</v>
      </c>
      <c r="F10" s="79">
        <v>0.3</v>
      </c>
      <c r="G10" s="66">
        <v>0</v>
      </c>
      <c r="H10" s="67">
        <f t="shared" si="4"/>
        <v>0</v>
      </c>
      <c r="I10" s="67">
        <v>0</v>
      </c>
      <c r="J10" s="81">
        <f t="shared" ca="1" si="0"/>
        <v>0</v>
      </c>
      <c r="K10" s="81">
        <f t="shared" ca="1" si="7"/>
        <v>-0.3</v>
      </c>
      <c r="L10" s="81">
        <f t="shared" ca="1" si="8"/>
        <v>12.060040000000203</v>
      </c>
      <c r="M10" s="68">
        <f t="shared" ca="1" si="6"/>
        <v>0</v>
      </c>
      <c r="N10" s="155">
        <f>Summer!N10</f>
        <v>0.4</v>
      </c>
      <c r="O10" s="68"/>
      <c r="P10" s="82">
        <f t="shared" ca="1" si="1"/>
        <v>0</v>
      </c>
      <c r="Q10" s="68">
        <f t="shared" ca="1" si="2"/>
        <v>0</v>
      </c>
      <c r="R10" s="82">
        <f t="shared" ca="1" si="3"/>
        <v>0</v>
      </c>
    </row>
    <row r="11" spans="1:21" x14ac:dyDescent="0.25">
      <c r="B11" s="89" t="s">
        <v>26</v>
      </c>
      <c r="C11" s="124">
        <f>Summer!C11</f>
        <v>0.03</v>
      </c>
      <c r="D11" s="91" t="s">
        <v>28</v>
      </c>
      <c r="E11" s="78">
        <v>7</v>
      </c>
      <c r="F11" s="79">
        <v>1</v>
      </c>
      <c r="G11" s="66">
        <v>0.17142857142857143</v>
      </c>
      <c r="H11" s="67">
        <f t="shared" si="4"/>
        <v>0</v>
      </c>
      <c r="I11" s="67">
        <v>0</v>
      </c>
      <c r="J11" s="81">
        <f t="shared" ca="1" si="0"/>
        <v>0</v>
      </c>
      <c r="K11" s="81">
        <f t="shared" ca="1" si="7"/>
        <v>-1</v>
      </c>
      <c r="L11" s="81">
        <f t="shared" ca="1" si="8"/>
        <v>11.030040000000204</v>
      </c>
      <c r="M11" s="68">
        <f t="shared" ca="1" si="6"/>
        <v>0</v>
      </c>
      <c r="N11" s="155">
        <f>Summer!N11</f>
        <v>0.4</v>
      </c>
      <c r="O11" s="68"/>
      <c r="P11" s="82">
        <f t="shared" ca="1" si="1"/>
        <v>0</v>
      </c>
      <c r="Q11" s="68">
        <f t="shared" ca="1" si="2"/>
        <v>0</v>
      </c>
      <c r="R11" s="82">
        <f t="shared" ca="1" si="3"/>
        <v>0</v>
      </c>
    </row>
    <row r="12" spans="1:21" x14ac:dyDescent="0.25">
      <c r="B12" s="89" t="s">
        <v>3</v>
      </c>
      <c r="C12" s="123">
        <f>Summer!C12</f>
        <v>5</v>
      </c>
      <c r="D12" s="92" t="s">
        <v>20</v>
      </c>
      <c r="E12" s="78">
        <v>8</v>
      </c>
      <c r="F12" s="79">
        <v>0.6</v>
      </c>
      <c r="G12" s="66">
        <v>0.39999999999999997</v>
      </c>
      <c r="H12" s="67">
        <f t="shared" si="4"/>
        <v>0</v>
      </c>
      <c r="I12" s="67">
        <v>0</v>
      </c>
      <c r="J12" s="81">
        <f t="shared" ca="1" si="0"/>
        <v>0</v>
      </c>
      <c r="K12" s="81">
        <f t="shared" ca="1" si="7"/>
        <v>-0.6</v>
      </c>
      <c r="L12" s="81">
        <f t="shared" ca="1" si="8"/>
        <v>10.412040000000204</v>
      </c>
      <c r="M12" s="68">
        <f t="shared" ca="1" si="6"/>
        <v>0</v>
      </c>
      <c r="N12" s="155">
        <f>Summer!N12</f>
        <v>0.4</v>
      </c>
      <c r="O12" s="68"/>
      <c r="P12" s="82">
        <f t="shared" ca="1" si="1"/>
        <v>0</v>
      </c>
      <c r="Q12" s="68">
        <f t="shared" ca="1" si="2"/>
        <v>0</v>
      </c>
      <c r="R12" s="82">
        <f t="shared" ca="1" si="3"/>
        <v>0</v>
      </c>
    </row>
    <row r="13" spans="1:21" x14ac:dyDescent="0.25">
      <c r="B13" s="93" t="s">
        <v>4</v>
      </c>
      <c r="C13" s="125">
        <f>Summer!C13</f>
        <v>5</v>
      </c>
      <c r="D13" s="94" t="s">
        <v>20</v>
      </c>
      <c r="E13" s="78">
        <v>9</v>
      </c>
      <c r="F13" s="79">
        <v>0.6</v>
      </c>
      <c r="G13" s="66">
        <v>0.62857142857142867</v>
      </c>
      <c r="H13" s="67">
        <f t="shared" si="4"/>
        <v>0.20571428571428588</v>
      </c>
      <c r="I13" s="67">
        <v>0</v>
      </c>
      <c r="J13" s="81">
        <f t="shared" ca="1" si="0"/>
        <v>0</v>
      </c>
      <c r="K13" s="81">
        <f t="shared" ca="1" si="7"/>
        <v>-0.39428571428571413</v>
      </c>
      <c r="L13" s="81">
        <f t="shared" ca="1" si="8"/>
        <v>10.005925714285919</v>
      </c>
      <c r="M13" s="68">
        <f t="shared" ca="1" si="6"/>
        <v>0</v>
      </c>
      <c r="N13" s="155">
        <f>Summer!N13</f>
        <v>0.4</v>
      </c>
      <c r="O13" s="68"/>
      <c r="P13" s="82">
        <f t="shared" ca="1" si="1"/>
        <v>0</v>
      </c>
      <c r="Q13" s="68">
        <f t="shared" ca="1" si="2"/>
        <v>0</v>
      </c>
      <c r="R13" s="82">
        <f t="shared" ca="1" si="3"/>
        <v>0</v>
      </c>
    </row>
    <row r="14" spans="1:21" x14ac:dyDescent="0.25">
      <c r="E14" s="78">
        <v>10</v>
      </c>
      <c r="F14" s="79">
        <v>0.6</v>
      </c>
      <c r="G14" s="66">
        <v>0.82857142857142851</v>
      </c>
      <c r="H14" s="67">
        <f t="shared" si="4"/>
        <v>0.52571428571428569</v>
      </c>
      <c r="I14" s="67">
        <v>0</v>
      </c>
      <c r="J14" s="81">
        <f t="shared" ca="1" si="0"/>
        <v>0</v>
      </c>
      <c r="K14" s="81">
        <f t="shared" ca="1" si="7"/>
        <v>-7.4285714285714288E-2</v>
      </c>
      <c r="L14" s="81">
        <f t="shared" ca="1" si="8"/>
        <v>9.9294114285716333</v>
      </c>
      <c r="M14" s="68">
        <f t="shared" ca="1" si="6"/>
        <v>0</v>
      </c>
      <c r="N14" s="155">
        <f>Summer!N14</f>
        <v>0.4</v>
      </c>
      <c r="O14" s="68"/>
      <c r="P14" s="82">
        <f t="shared" ca="1" si="1"/>
        <v>0</v>
      </c>
      <c r="Q14" s="68">
        <f t="shared" ca="1" si="2"/>
        <v>0</v>
      </c>
      <c r="R14" s="82">
        <f t="shared" ca="1" si="3"/>
        <v>0</v>
      </c>
    </row>
    <row r="15" spans="1:21" x14ac:dyDescent="0.25">
      <c r="B15" s="95" t="s">
        <v>19</v>
      </c>
      <c r="C15" s="96"/>
      <c r="E15" s="78">
        <v>11</v>
      </c>
      <c r="F15" s="79">
        <v>0.6</v>
      </c>
      <c r="G15" s="66">
        <v>0.91428571428571437</v>
      </c>
      <c r="H15" s="67">
        <f t="shared" si="4"/>
        <v>0.66285714285714303</v>
      </c>
      <c r="I15" s="67">
        <v>0</v>
      </c>
      <c r="J15" s="81">
        <f t="shared" ca="1" si="0"/>
        <v>6.2857142857143056E-2</v>
      </c>
      <c r="K15" s="81">
        <f t="shared" ca="1" si="7"/>
        <v>0</v>
      </c>
      <c r="L15" s="81">
        <f t="shared" ca="1" si="8"/>
        <v>9.9884971428573479</v>
      </c>
      <c r="M15" s="68">
        <f t="shared" ca="1" si="6"/>
        <v>0</v>
      </c>
      <c r="N15" s="155">
        <f>Summer!N15</f>
        <v>0.4</v>
      </c>
      <c r="O15" s="68"/>
      <c r="P15" s="82">
        <f t="shared" ca="1" si="1"/>
        <v>0</v>
      </c>
      <c r="Q15" s="68">
        <f t="shared" ca="1" si="2"/>
        <v>0</v>
      </c>
      <c r="R15" s="82">
        <f t="shared" ca="1" si="3"/>
        <v>0</v>
      </c>
    </row>
    <row r="16" spans="1:21" x14ac:dyDescent="0.25">
      <c r="B16" s="97"/>
      <c r="E16" s="78">
        <v>12</v>
      </c>
      <c r="F16" s="79">
        <v>1.5</v>
      </c>
      <c r="G16" s="66">
        <v>1</v>
      </c>
      <c r="H16" s="67">
        <f t="shared" si="4"/>
        <v>0.8</v>
      </c>
      <c r="I16" s="67">
        <v>0</v>
      </c>
      <c r="J16" s="81">
        <f t="shared" ca="1" si="0"/>
        <v>0</v>
      </c>
      <c r="K16" s="81">
        <f t="shared" ca="1" si="7"/>
        <v>-0.7</v>
      </c>
      <c r="L16" s="81">
        <f t="shared" ca="1" si="8"/>
        <v>9.2674971428573478</v>
      </c>
      <c r="M16" s="68">
        <f t="shared" ca="1" si="6"/>
        <v>0</v>
      </c>
      <c r="N16" s="155">
        <f>Summer!N16</f>
        <v>0.4</v>
      </c>
      <c r="O16" s="68"/>
      <c r="P16" s="82">
        <f t="shared" ca="1" si="1"/>
        <v>0</v>
      </c>
      <c r="Q16" s="68">
        <f t="shared" ca="1" si="2"/>
        <v>0</v>
      </c>
      <c r="R16" s="82">
        <f t="shared" ca="1" si="3"/>
        <v>0</v>
      </c>
    </row>
    <row r="17" spans="1:22" x14ac:dyDescent="0.25">
      <c r="B17" s="98" t="s">
        <v>9</v>
      </c>
      <c r="E17" s="78">
        <v>13</v>
      </c>
      <c r="F17" s="79">
        <v>1.5</v>
      </c>
      <c r="G17" s="66">
        <v>0.91428571428571437</v>
      </c>
      <c r="H17" s="67">
        <f t="shared" si="4"/>
        <v>0.66285714285714303</v>
      </c>
      <c r="I17" s="67">
        <v>0</v>
      </c>
      <c r="J17" s="81">
        <f t="shared" ca="1" si="0"/>
        <v>0</v>
      </c>
      <c r="K17" s="81">
        <f t="shared" ca="1" si="7"/>
        <v>-0.83714285714285697</v>
      </c>
      <c r="L17" s="81">
        <f t="shared" ca="1" si="8"/>
        <v>8.4052400000002052</v>
      </c>
      <c r="M17" s="68">
        <f t="shared" ca="1" si="6"/>
        <v>0</v>
      </c>
      <c r="N17" s="155">
        <f>Summer!N17</f>
        <v>0.4</v>
      </c>
      <c r="O17" s="68"/>
      <c r="P17" s="82">
        <f t="shared" ca="1" si="1"/>
        <v>0</v>
      </c>
      <c r="Q17" s="68">
        <f t="shared" ca="1" si="2"/>
        <v>0</v>
      </c>
      <c r="R17" s="82">
        <f t="shared" ca="1" si="3"/>
        <v>0</v>
      </c>
    </row>
    <row r="18" spans="1:22" x14ac:dyDescent="0.25">
      <c r="B18" s="97" t="s">
        <v>11</v>
      </c>
      <c r="C18" s="99"/>
      <c r="D18" s="99"/>
      <c r="E18" s="78">
        <v>14</v>
      </c>
      <c r="F18" s="79">
        <v>2</v>
      </c>
      <c r="G18" s="66">
        <v>0.8571428571428571</v>
      </c>
      <c r="H18" s="67">
        <f t="shared" si="4"/>
        <v>0.5714285714285714</v>
      </c>
      <c r="I18" s="67">
        <v>0</v>
      </c>
      <c r="J18" s="81">
        <f t="shared" ca="1" si="0"/>
        <v>0</v>
      </c>
      <c r="K18" s="81">
        <f t="shared" ca="1" si="7"/>
        <v>-1.4285714285714286</v>
      </c>
      <c r="L18" s="81">
        <f t="shared" ca="1" si="8"/>
        <v>6.9338114285716337</v>
      </c>
      <c r="M18" s="68">
        <f t="shared" ca="1" si="6"/>
        <v>0</v>
      </c>
      <c r="N18" s="155">
        <f>Summer!N18</f>
        <v>0.4</v>
      </c>
      <c r="O18" s="68"/>
      <c r="P18" s="82">
        <f t="shared" ca="1" si="1"/>
        <v>0</v>
      </c>
      <c r="Q18" s="68">
        <f t="shared" ca="1" si="2"/>
        <v>0</v>
      </c>
      <c r="R18" s="82">
        <f t="shared" ca="1" si="3"/>
        <v>0</v>
      </c>
    </row>
    <row r="19" spans="1:22" x14ac:dyDescent="0.25">
      <c r="B19" s="98" t="s">
        <v>34</v>
      </c>
      <c r="E19" s="78">
        <v>15</v>
      </c>
      <c r="F19" s="79">
        <v>1</v>
      </c>
      <c r="G19" s="66">
        <v>0.7142857142857143</v>
      </c>
      <c r="H19" s="67">
        <f t="shared" si="4"/>
        <v>0.34285714285714292</v>
      </c>
      <c r="I19" s="67">
        <v>0</v>
      </c>
      <c r="J19" s="81">
        <f t="shared" ca="1" si="0"/>
        <v>0</v>
      </c>
      <c r="K19" s="81">
        <f t="shared" ca="1" si="7"/>
        <v>-0.65714285714285703</v>
      </c>
      <c r="L19" s="81">
        <f t="shared" ca="1" si="8"/>
        <v>6.2569542857144906</v>
      </c>
      <c r="M19" s="68">
        <f t="shared" ca="1" si="6"/>
        <v>0</v>
      </c>
      <c r="N19" s="155">
        <f>Summer!N19</f>
        <v>0.4</v>
      </c>
      <c r="O19" s="68"/>
      <c r="P19" s="82">
        <f t="shared" ca="1" si="1"/>
        <v>0</v>
      </c>
      <c r="Q19" s="68">
        <f t="shared" ca="1" si="2"/>
        <v>0</v>
      </c>
      <c r="R19" s="82">
        <f t="shared" ca="1" si="3"/>
        <v>0</v>
      </c>
    </row>
    <row r="20" spans="1:22" x14ac:dyDescent="0.25">
      <c r="B20" s="98" t="s">
        <v>10</v>
      </c>
      <c r="E20" s="78">
        <v>16</v>
      </c>
      <c r="F20" s="79">
        <v>1</v>
      </c>
      <c r="G20" s="66">
        <v>0.34285714285714286</v>
      </c>
      <c r="H20" s="67">
        <f t="shared" si="4"/>
        <v>0</v>
      </c>
      <c r="I20" s="67">
        <v>0</v>
      </c>
      <c r="J20" s="81">
        <f t="shared" ca="1" si="0"/>
        <v>0</v>
      </c>
      <c r="K20" s="81">
        <f t="shared" ca="1" si="7"/>
        <v>-1</v>
      </c>
      <c r="L20" s="81">
        <f t="shared" ca="1" si="8"/>
        <v>5.2269542857144904</v>
      </c>
      <c r="M20" s="68">
        <f t="shared" ca="1" si="6"/>
        <v>0</v>
      </c>
      <c r="N20" s="155">
        <f>Summer!N20</f>
        <v>0.4</v>
      </c>
      <c r="O20" s="68"/>
      <c r="P20" s="82">
        <f t="shared" ca="1" si="1"/>
        <v>0</v>
      </c>
      <c r="Q20" s="68">
        <f t="shared" ca="1" si="2"/>
        <v>0</v>
      </c>
      <c r="R20" s="82">
        <f t="shared" ca="1" si="3"/>
        <v>0</v>
      </c>
    </row>
    <row r="21" spans="1:22" x14ac:dyDescent="0.25">
      <c r="E21" s="78">
        <v>17</v>
      </c>
      <c r="F21" s="79">
        <v>1</v>
      </c>
      <c r="G21" s="66">
        <v>0.1142857142857143</v>
      </c>
      <c r="H21" s="67">
        <f t="shared" si="4"/>
        <v>0</v>
      </c>
      <c r="I21" s="67">
        <v>0</v>
      </c>
      <c r="J21" s="81">
        <f t="shared" ca="1" si="0"/>
        <v>0</v>
      </c>
      <c r="K21" s="81">
        <f t="shared" ca="1" si="7"/>
        <v>-1</v>
      </c>
      <c r="L21" s="81">
        <f t="shared" ca="1" si="8"/>
        <v>4.1969542857144901</v>
      </c>
      <c r="M21" s="68">
        <f t="shared" ca="1" si="6"/>
        <v>0</v>
      </c>
      <c r="N21" s="155">
        <f>Summer!N21</f>
        <v>0.4</v>
      </c>
      <c r="O21" s="68"/>
      <c r="P21" s="82">
        <f t="shared" ca="1" si="1"/>
        <v>0</v>
      </c>
      <c r="Q21" s="68">
        <f t="shared" ca="1" si="2"/>
        <v>0</v>
      </c>
      <c r="R21" s="82">
        <f t="shared" ca="1" si="3"/>
        <v>0</v>
      </c>
      <c r="S21" s="105" t="s">
        <v>24</v>
      </c>
    </row>
    <row r="22" spans="1:22" x14ac:dyDescent="0.25">
      <c r="B22" s="98" t="s">
        <v>31</v>
      </c>
      <c r="E22" s="78">
        <v>18</v>
      </c>
      <c r="F22" s="79">
        <v>1.5</v>
      </c>
      <c r="G22" s="66">
        <v>0</v>
      </c>
      <c r="H22" s="67">
        <f t="shared" si="4"/>
        <v>0</v>
      </c>
      <c r="I22" s="67">
        <v>0</v>
      </c>
      <c r="J22" s="81">
        <f t="shared" ca="1" si="0"/>
        <v>0</v>
      </c>
      <c r="K22" s="81">
        <f t="shared" ca="1" si="7"/>
        <v>-1.5</v>
      </c>
      <c r="L22" s="81">
        <f t="shared" ca="1" si="8"/>
        <v>2.6519542857144902</v>
      </c>
      <c r="M22" s="68">
        <f t="shared" ca="1" si="6"/>
        <v>0</v>
      </c>
      <c r="N22" s="155">
        <f>Summer!N22</f>
        <v>0.4</v>
      </c>
      <c r="O22" s="68"/>
      <c r="P22" s="82">
        <f t="shared" ca="1" si="1"/>
        <v>0</v>
      </c>
      <c r="Q22" s="68">
        <f t="shared" ca="1" si="2"/>
        <v>0</v>
      </c>
      <c r="R22" s="82">
        <f t="shared" ca="1" si="3"/>
        <v>0</v>
      </c>
      <c r="S22" s="105" t="s">
        <v>32</v>
      </c>
    </row>
    <row r="23" spans="1:22" x14ac:dyDescent="0.25">
      <c r="B23" s="98" t="s">
        <v>30</v>
      </c>
      <c r="E23" s="78">
        <v>19</v>
      </c>
      <c r="F23" s="79">
        <v>1.5</v>
      </c>
      <c r="G23" s="66">
        <v>0</v>
      </c>
      <c r="H23" s="67">
        <f t="shared" si="4"/>
        <v>0</v>
      </c>
      <c r="I23" s="67">
        <v>0</v>
      </c>
      <c r="J23" s="81">
        <f t="shared" ca="1" si="0"/>
        <v>0</v>
      </c>
      <c r="K23" s="81">
        <f t="shared" ca="1" si="7"/>
        <v>-1.5</v>
      </c>
      <c r="L23" s="81">
        <f t="shared" ca="1" si="8"/>
        <v>1.1069542857144903</v>
      </c>
      <c r="M23" s="68">
        <f t="shared" ca="1" si="6"/>
        <v>0</v>
      </c>
      <c r="N23" s="155">
        <f>Summer!N23</f>
        <v>0.4</v>
      </c>
      <c r="O23" s="68"/>
      <c r="P23" s="82">
        <f t="shared" ca="1" si="1"/>
        <v>0</v>
      </c>
      <c r="Q23" s="68">
        <f t="shared" ca="1" si="2"/>
        <v>0</v>
      </c>
      <c r="R23" s="82">
        <f t="shared" ca="1" si="3"/>
        <v>0</v>
      </c>
      <c r="S23" s="105" t="s">
        <v>36</v>
      </c>
    </row>
    <row r="24" spans="1:22" x14ac:dyDescent="0.25">
      <c r="B24" s="98" t="s">
        <v>29</v>
      </c>
      <c r="E24" s="78">
        <v>20</v>
      </c>
      <c r="F24" s="79">
        <v>1</v>
      </c>
      <c r="G24" s="66">
        <v>0</v>
      </c>
      <c r="H24" s="67">
        <f t="shared" si="4"/>
        <v>0</v>
      </c>
      <c r="I24" s="67">
        <v>0</v>
      </c>
      <c r="J24" s="81">
        <f t="shared" ca="1" si="0"/>
        <v>0</v>
      </c>
      <c r="K24" s="81">
        <f t="shared" ca="1" si="7"/>
        <v>-1</v>
      </c>
      <c r="L24" s="81">
        <f t="shared" ca="1" si="8"/>
        <v>7.6954285714490256E-2</v>
      </c>
      <c r="M24" s="68">
        <f t="shared" ca="1" si="6"/>
        <v>0</v>
      </c>
      <c r="N24" s="155">
        <f>Summer!N24</f>
        <v>0.4</v>
      </c>
      <c r="O24" s="68"/>
      <c r="P24" s="82">
        <f t="shared" ca="1" si="1"/>
        <v>0</v>
      </c>
      <c r="Q24" s="68">
        <f t="shared" ca="1" si="2"/>
        <v>0</v>
      </c>
      <c r="R24" s="82">
        <f t="shared" ca="1" si="3"/>
        <v>0</v>
      </c>
      <c r="S24" s="100">
        <f>Summer!S24</f>
        <v>0.43</v>
      </c>
    </row>
    <row r="25" spans="1:22" x14ac:dyDescent="0.25">
      <c r="B25" s="101" t="s">
        <v>40</v>
      </c>
      <c r="C25" s="102"/>
      <c r="E25" s="78">
        <v>21</v>
      </c>
      <c r="F25" s="79">
        <v>0.5</v>
      </c>
      <c r="G25" s="66">
        <v>0</v>
      </c>
      <c r="H25" s="67">
        <f t="shared" si="4"/>
        <v>0</v>
      </c>
      <c r="I25" s="67">
        <v>0</v>
      </c>
      <c r="J25" s="81">
        <f t="shared" ca="1" si="0"/>
        <v>0</v>
      </c>
      <c r="K25" s="81">
        <f t="shared" ca="1" si="7"/>
        <v>-7.4645657143055544E-2</v>
      </c>
      <c r="L25" s="81">
        <f t="shared" ca="1" si="8"/>
        <v>6.9258857143039698E-5</v>
      </c>
      <c r="M25" s="68">
        <f t="shared" ca="1" si="6"/>
        <v>0.42535434285694446</v>
      </c>
      <c r="N25" s="155">
        <f>Summer!N25</f>
        <v>0.4</v>
      </c>
      <c r="O25" s="68"/>
      <c r="P25" s="82">
        <f t="shared" ca="1" si="1"/>
        <v>0.1701417371427778</v>
      </c>
      <c r="Q25" s="68">
        <f t="shared" ca="1" si="2"/>
        <v>0</v>
      </c>
      <c r="R25" s="82">
        <f t="shared" ca="1" si="3"/>
        <v>0</v>
      </c>
    </row>
    <row r="26" spans="1:22" x14ac:dyDescent="0.25">
      <c r="B26" s="103" t="s">
        <v>38</v>
      </c>
      <c r="C26" s="104">
        <v>0.4</v>
      </c>
      <c r="E26" s="78">
        <v>22</v>
      </c>
      <c r="F26" s="79">
        <v>0.3</v>
      </c>
      <c r="G26" s="66">
        <v>0</v>
      </c>
      <c r="H26" s="67">
        <f t="shared" si="4"/>
        <v>0</v>
      </c>
      <c r="I26" s="67">
        <v>0</v>
      </c>
      <c r="J26" s="81">
        <f t="shared" ca="1" si="0"/>
        <v>0</v>
      </c>
      <c r="K26" s="81">
        <f t="shared" ca="1" si="7"/>
        <v>-6.7181091428748503E-5</v>
      </c>
      <c r="L26" s="81">
        <f t="shared" ca="1" si="8"/>
        <v>6.2332971428736401E-8</v>
      </c>
      <c r="M26" s="68">
        <f t="shared" ca="1" si="6"/>
        <v>0.29993281890857126</v>
      </c>
      <c r="N26" s="155">
        <f>Summer!N26</f>
        <v>0.4</v>
      </c>
      <c r="O26" s="68"/>
      <c r="P26" s="82">
        <f t="shared" ca="1" si="1"/>
        <v>0.11997312756342851</v>
      </c>
      <c r="Q26" s="68">
        <f t="shared" ca="1" si="2"/>
        <v>0</v>
      </c>
      <c r="R26" s="82">
        <f t="shared" ca="1" si="3"/>
        <v>0</v>
      </c>
      <c r="S26" s="144" t="s">
        <v>24</v>
      </c>
      <c r="T26" s="144" t="s">
        <v>37</v>
      </c>
      <c r="U26" s="144" t="s">
        <v>44</v>
      </c>
      <c r="V26" s="150" t="s">
        <v>44</v>
      </c>
    </row>
    <row r="27" spans="1:22" x14ac:dyDescent="0.25">
      <c r="B27" s="107" t="s">
        <v>39</v>
      </c>
      <c r="C27" s="108">
        <v>0.5</v>
      </c>
      <c r="E27" s="78">
        <v>23</v>
      </c>
      <c r="F27" s="79">
        <v>0.3</v>
      </c>
      <c r="G27" s="66">
        <v>0</v>
      </c>
      <c r="H27" s="67">
        <f t="shared" si="4"/>
        <v>0</v>
      </c>
      <c r="I27" s="67">
        <v>0</v>
      </c>
      <c r="J27" s="81">
        <f t="shared" ca="1" si="0"/>
        <v>0</v>
      </c>
      <c r="K27" s="81">
        <f t="shared" ca="1" si="7"/>
        <v>-6.0462982285874312E-8</v>
      </c>
      <c r="L27" s="81">
        <f t="shared" ca="1" si="8"/>
        <v>5.6099674285857488E-11</v>
      </c>
      <c r="M27" s="68">
        <f t="shared" ca="1" si="6"/>
        <v>0.2999999395370177</v>
      </c>
      <c r="N27" s="155">
        <f>Summer!N27</f>
        <v>0.4</v>
      </c>
      <c r="O27" s="68"/>
      <c r="P27" s="82">
        <f t="shared" ca="1" si="1"/>
        <v>0.11999997581480709</v>
      </c>
      <c r="Q27" s="68">
        <f t="shared" ca="1" si="2"/>
        <v>0</v>
      </c>
      <c r="R27" s="82">
        <f t="shared" ca="1" si="3"/>
        <v>0</v>
      </c>
      <c r="S27" s="144" t="s">
        <v>25</v>
      </c>
      <c r="T27" s="144" t="s">
        <v>25</v>
      </c>
      <c r="U27" s="144" t="s">
        <v>25</v>
      </c>
      <c r="V27" s="150" t="s">
        <v>49</v>
      </c>
    </row>
    <row r="28" spans="1:22" x14ac:dyDescent="0.25">
      <c r="A28" s="109"/>
      <c r="B28" s="109"/>
      <c r="C28" s="109"/>
      <c r="D28" s="109"/>
      <c r="E28" s="110" t="s">
        <v>2</v>
      </c>
      <c r="F28" s="111">
        <f>SUM(F4:F27)</f>
        <v>34.400000000000006</v>
      </c>
      <c r="G28" s="112"/>
      <c r="H28" s="113">
        <f>SUM(H4:H27)</f>
        <v>3.7714285714285718</v>
      </c>
      <c r="I28" s="113">
        <f ca="1">SUM(I4:I27)</f>
        <v>13.815999999940535</v>
      </c>
      <c r="J28" s="114">
        <f ca="1">SUM(J4:J27)</f>
        <v>6.2857142857143056E-2</v>
      </c>
      <c r="K28" s="114">
        <f ca="1">SUM(K4:K27)</f>
        <v>-12.666141470126037</v>
      </c>
      <c r="L28" s="111"/>
      <c r="M28" s="114">
        <f ca="1">SUM(M4:M27)</f>
        <v>31.841287101243068</v>
      </c>
      <c r="N28" s="115"/>
      <c r="O28" s="114"/>
      <c r="P28" s="115">
        <f ca="1">SUM(P4:P27)</f>
        <v>2.7213148405165537</v>
      </c>
      <c r="Q28" s="114">
        <f ca="1">SUM(Q4:Q27)</f>
        <v>0</v>
      </c>
      <c r="R28" s="115">
        <f ca="1">SUM(R4:R27)</f>
        <v>0</v>
      </c>
      <c r="S28" s="149">
        <f ca="1">P28+S24</f>
        <v>3.1513148405165539</v>
      </c>
      <c r="T28" s="145">
        <f ca="1">S28*7</f>
        <v>22.059203883615876</v>
      </c>
      <c r="U28" s="145">
        <f ca="1">S28*120</f>
        <v>378.15778086198645</v>
      </c>
      <c r="V28" s="146">
        <f ca="1">120*R28</f>
        <v>0</v>
      </c>
    </row>
    <row r="29" spans="1:22" x14ac:dyDescent="0.25">
      <c r="B29" s="116" t="s">
        <v>57</v>
      </c>
      <c r="E29" s="65"/>
      <c r="G29" s="66"/>
      <c r="H29" s="67"/>
      <c r="I29" s="67"/>
      <c r="J29" s="68"/>
      <c r="K29" s="68"/>
      <c r="M29" s="68"/>
      <c r="N29" s="68"/>
      <c r="O29" s="68"/>
      <c r="Q29" s="68"/>
      <c r="T29" s="65"/>
      <c r="U29" s="65"/>
    </row>
    <row r="30" spans="1:22" x14ac:dyDescent="0.25">
      <c r="B30" s="116" t="s">
        <v>58</v>
      </c>
      <c r="E30" s="65"/>
      <c r="G30" s="66"/>
      <c r="H30" s="67"/>
      <c r="I30" s="67"/>
      <c r="J30" s="68"/>
      <c r="K30" s="68"/>
      <c r="M30" s="68"/>
      <c r="N30" s="68"/>
      <c r="O30" s="68"/>
      <c r="Q30" s="68"/>
      <c r="S30" s="106" t="s">
        <v>45</v>
      </c>
      <c r="U30" s="145">
        <f ca="1">U28+Summer!U28+'Spring &amp; Autumn'!U28</f>
        <v>751.8236429745242</v>
      </c>
    </row>
    <row r="31" spans="1:22" x14ac:dyDescent="0.25">
      <c r="B31" s="116"/>
      <c r="C31" s="109"/>
      <c r="D31" s="109"/>
      <c r="E31" s="117"/>
      <c r="F31" s="109"/>
      <c r="G31" s="118"/>
      <c r="H31" s="119"/>
      <c r="I31" s="119"/>
      <c r="J31" s="68"/>
      <c r="K31" s="68"/>
      <c r="M31" s="68"/>
      <c r="N31" s="68"/>
      <c r="O31" s="68"/>
      <c r="Q31" s="68"/>
      <c r="S31" s="138" t="s">
        <v>50</v>
      </c>
      <c r="U31" s="146">
        <f ca="1">V28+Summer!V28+'Spring &amp; Autumn'!V28</f>
        <v>37.78485387036455</v>
      </c>
    </row>
    <row r="32" spans="1:22" x14ac:dyDescent="0.25">
      <c r="B32" s="116"/>
      <c r="C32" s="109"/>
      <c r="D32" s="109"/>
      <c r="E32" s="117"/>
      <c r="F32" s="109"/>
      <c r="G32" s="118"/>
      <c r="H32" s="119"/>
      <c r="I32" s="119"/>
      <c r="J32" s="68"/>
      <c r="K32" s="68"/>
      <c r="M32" s="68"/>
      <c r="N32" s="68"/>
      <c r="O32" s="68"/>
      <c r="Q32" s="68"/>
      <c r="S32" s="106" t="s">
        <v>51</v>
      </c>
      <c r="U32" s="145">
        <f ca="1">U30-U31</f>
        <v>714.0387891041596</v>
      </c>
    </row>
    <row r="33" spans="2:17" x14ac:dyDescent="0.25">
      <c r="B33" s="116"/>
      <c r="C33" s="109"/>
      <c r="D33" s="109"/>
      <c r="E33" s="117"/>
      <c r="F33" s="109"/>
      <c r="G33" s="118"/>
      <c r="H33" s="119"/>
      <c r="I33" s="119"/>
      <c r="J33" s="68"/>
      <c r="K33" s="68"/>
      <c r="M33" s="68"/>
      <c r="N33" s="68"/>
      <c r="O33" s="68"/>
      <c r="Q33" s="68"/>
    </row>
    <row r="34" spans="2:17" x14ac:dyDescent="0.25">
      <c r="B34" s="116"/>
      <c r="E34" s="65"/>
      <c r="G34" s="66"/>
      <c r="H34" s="67"/>
      <c r="I34" s="67"/>
      <c r="J34" s="68"/>
      <c r="K34" s="68"/>
      <c r="M34" s="68"/>
      <c r="N34" s="68"/>
      <c r="O34" s="68"/>
      <c r="Q34" s="68"/>
    </row>
    <row r="35" spans="2:17" x14ac:dyDescent="0.25">
      <c r="E35" s="65"/>
      <c r="G35" s="66"/>
      <c r="H35" s="67"/>
      <c r="I35" s="67"/>
      <c r="J35" s="68"/>
      <c r="K35" s="68"/>
      <c r="M35" s="68"/>
      <c r="N35" s="68"/>
      <c r="O35" s="68"/>
      <c r="Q35" s="68"/>
    </row>
  </sheetData>
  <sheetProtection password="C464" sheet="1" objects="1" scenarios="1"/>
  <protectedRanges>
    <protectedRange sqref="C26:C27" name="Range2"/>
    <protectedRange sqref="F4:F27" name="Range1"/>
  </protectedRange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Summer</vt:lpstr>
      <vt:lpstr>Spring &amp; Autumn</vt:lpstr>
      <vt:lpstr>Winter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Does Solar</dc:creator>
  <cp:keywords/>
  <dc:description/>
  <cp:lastModifiedBy>Mike</cp:lastModifiedBy>
  <dcterms:created xsi:type="dcterms:W3CDTF">2022-08-11T05:13:59Z</dcterms:created>
  <dcterms:modified xsi:type="dcterms:W3CDTF">2022-11-27T17:51:36Z</dcterms:modified>
  <cp:category/>
</cp:coreProperties>
</file>